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CTY Vnet Media\CAC DU AN\DA lop daotaotinhoc\Sach mau Excel công việc\FILE SACH_FINAL 09092024\FILE SACH_FINAL 09092024\1. KE TOAN\"/>
    </mc:Choice>
  </mc:AlternateContent>
  <xr:revisionPtr revIDLastSave="0" documentId="13_ncr:1_{F5137D2F-1E8E-4598-8A1D-C969BFAFD329}" xr6:coauthVersionLast="47" xr6:coauthVersionMax="47" xr10:uidLastSave="{00000000-0000-0000-0000-000000000000}"/>
  <bookViews>
    <workbookView xWindow="38280" yWindow="-120" windowWidth="29040" windowHeight="15720" tabRatio="865" activeTab="3" xr2:uid="{DE8588BA-54D4-437E-B510-2B3FE7A610C9}"/>
  </bookViews>
  <sheets>
    <sheet name="PHIEU LUONG" sheetId="3" r:id="rId1"/>
    <sheet name="CHAM CONG" sheetId="5" r:id="rId2"/>
    <sheet name="TINH LUONG" sheetId="1" r:id="rId3"/>
    <sheet name="BAO HIEM" sheetId="6" r:id="rId4"/>
    <sheet name="DS NV" sheetId="4" r:id="rId5"/>
  </sheets>
  <definedNames>
    <definedName name="Google_Sheet_Link_1007117882_517435780" localSheetId="1" hidden="1">_2_BKNX_sohieu</definedName>
    <definedName name="Google_Sheet_Link_1007117882_517435780" hidden="1">_2_BKNX_sohieu</definedName>
    <definedName name="Google_Sheet_Link_102332179" localSheetId="1" hidden="1">DMHH</definedName>
    <definedName name="Google_Sheet_Link_102332179" hidden="1">DMHH</definedName>
    <definedName name="Google_Sheet_Link_1026423290" localSheetId="1" hidden="1">_1_DATANKC</definedName>
    <definedName name="Google_Sheet_Link_1026423290" hidden="1">_1_DATANKC</definedName>
    <definedName name="Google_Sheet_Link_1041258828" localSheetId="1" hidden="1">_7_DMKH_CK</definedName>
    <definedName name="Google_Sheet_Link_1041258828" hidden="1">_7_DMKH_CK</definedName>
    <definedName name="Google_Sheet_Link_111126723_1356227137" localSheetId="3" hidden="1">DMNCC</definedName>
    <definedName name="Google_Sheet_Link_111126723_1356227137" localSheetId="1" hidden="1">DMNCC</definedName>
    <definedName name="Google_Sheet_Link_111126723_1356227137" localSheetId="0" hidden="1">DMNCC</definedName>
    <definedName name="Google_Sheet_Link_111126723_1356227137" hidden="1">DMNCC</definedName>
    <definedName name="Google_Sheet_Link_1119154408" localSheetId="1" hidden="1">_7_DMNCC_CK</definedName>
    <definedName name="Google_Sheet_Link_1119154408" hidden="1">_7_DMNCC_CK</definedName>
    <definedName name="Google_Sheet_Link_1193088319" localSheetId="1" hidden="1">_2_BKNX_TENHH</definedName>
    <definedName name="Google_Sheet_Link_1193088319" hidden="1">_2_BKNX_TENHH</definedName>
    <definedName name="Google_Sheet_Link_1211610023" localSheetId="1" hidden="1">_3_DanhmucHH</definedName>
    <definedName name="Google_Sheet_Link_1211610023" hidden="1">_3_DanhmucHH</definedName>
    <definedName name="Google_Sheet_Link_1239701500_517435780" localSheetId="1" hidden="1">_2_BKNX_DGNHAP</definedName>
    <definedName name="Google_Sheet_Link_1239701500_517435780" hidden="1">_2_BKNX_DGNHAP</definedName>
    <definedName name="Google_Sheet_Link_1299115874" localSheetId="1" hidden="1">_8_checktrung</definedName>
    <definedName name="Google_Sheet_Link_1299115874" hidden="1">_8_checktrung</definedName>
    <definedName name="Google_Sheet_Link_1307153837" localSheetId="1" hidden="1">_2_BKCK_CODE</definedName>
    <definedName name="Google_Sheet_Link_1307153837" hidden="1">_2_BKCK_CODE</definedName>
    <definedName name="Google_Sheet_Link_1311547086" localSheetId="1" hidden="1">MA_TK</definedName>
    <definedName name="Google_Sheet_Link_1311547086" hidden="1">MA_TK</definedName>
    <definedName name="Google_Sheet_Link_1313164570_517435780" localSheetId="1" hidden="1">_2_BKNX_SLXUAT</definedName>
    <definedName name="Google_Sheet_Link_1313164570_517435780" hidden="1">_2_BKNX_SLXUAT</definedName>
    <definedName name="Google_Sheet_Link_1364520239_517435780" localSheetId="1" hidden="1">_2_BKNX_SLTHUC</definedName>
    <definedName name="Google_Sheet_Link_1364520239_517435780" hidden="1">_2_BKNX_SLTHUC</definedName>
    <definedName name="Google_Sheet_Link_1371590113_2041442710" localSheetId="3" hidden="1">KH</definedName>
    <definedName name="Google_Sheet_Link_1371590113_2041442710" localSheetId="1" hidden="1">KH</definedName>
    <definedName name="Google_Sheet_Link_1371590113_2041442710" localSheetId="0" hidden="1">KH</definedName>
    <definedName name="Google_Sheet_Link_1371590113_2041442710" hidden="1">KH</definedName>
    <definedName name="Google_Sheet_Link_137307535" localSheetId="1" hidden="1">_6_TenDN</definedName>
    <definedName name="Google_Sheet_Link_137307535" hidden="1">_6_TenDN</definedName>
    <definedName name="Google_Sheet_Link_1403975529" localSheetId="1" hidden="1">THANG</definedName>
    <definedName name="Google_Sheet_Link_1403975529" hidden="1">THANG</definedName>
    <definedName name="Google_Sheet_Link_1458138689" localSheetId="1" hidden="1">_2_BKNX_DVT</definedName>
    <definedName name="Google_Sheet_Link_1458138689" hidden="1">_2_BKNX_DVT</definedName>
    <definedName name="Google_Sheet_Link_1480915345_1950668864" localSheetId="1" hidden="1">DMTK</definedName>
    <definedName name="Google_Sheet_Link_1480915345_1950668864" hidden="1">DMTK</definedName>
    <definedName name="Google_Sheet_Link_1518340297" localSheetId="1" hidden="1">_3_DMTK</definedName>
    <definedName name="Google_Sheet_Link_1518340297" hidden="1">_3_DMTK</definedName>
    <definedName name="Google_Sheet_Link_1527176975_517435780" localSheetId="1" hidden="1">_2_BKNX_TENHH</definedName>
    <definedName name="Google_Sheet_Link_1527176975_517435780" hidden="1">_2_BKNX_TENHH</definedName>
    <definedName name="Google_Sheet_Link_1535298743" localSheetId="1" hidden="1">_3_DSTKNH</definedName>
    <definedName name="Google_Sheet_Link_1535298743" hidden="1">_3_DSTKNH</definedName>
    <definedName name="Google_Sheet_Link_159418125" localSheetId="1" hidden="1">NV</definedName>
    <definedName name="Google_Sheet_Link_159418125" hidden="1">NV</definedName>
    <definedName name="Google_Sheet_Link_1596561994" localSheetId="1" hidden="1">_6_DCDN</definedName>
    <definedName name="Google_Sheet_Link_1596561994" hidden="1">_6_DCDN</definedName>
    <definedName name="Google_Sheet_Link_1719248909_2041442710" localSheetId="3" hidden="1">DMKH</definedName>
    <definedName name="Google_Sheet_Link_1719248909_2041442710" localSheetId="1" hidden="1">DMKH</definedName>
    <definedName name="Google_Sheet_Link_1719248909_2041442710" localSheetId="0" hidden="1">DMKH</definedName>
    <definedName name="Google_Sheet_Link_1719248909_2041442710" hidden="1">DMKH</definedName>
    <definedName name="Google_Sheet_Link_1730377303_666932826" hidden="1">#N/A</definedName>
    <definedName name="Google_Sheet_Link_1783302295" localSheetId="1" hidden="1">_2_BKNX_SLTHUC</definedName>
    <definedName name="Google_Sheet_Link_1783302295" hidden="1">_2_BKNX_SLTHUC</definedName>
    <definedName name="Google_Sheet_Link_182618969_517435780" localSheetId="1" hidden="1">_2_BKNX_MAHH</definedName>
    <definedName name="Google_Sheet_Link_182618969_517435780" hidden="1">_2_BKNX_MAHH</definedName>
    <definedName name="Google_Sheet_Link_1853232186" localSheetId="1" hidden="1">_1_DATABKNXUAT</definedName>
    <definedName name="Google_Sheet_Link_1853232186" hidden="1">_1_DATABKNXUAT</definedName>
    <definedName name="Google_Sheet_Link_1862691088" localSheetId="1" hidden="1">_2_BKNX_sohieu</definedName>
    <definedName name="Google_Sheet_Link_1862691088" hidden="1">_2_BKNX_sohieu</definedName>
    <definedName name="Google_Sheet_Link_1862714421_301111680" localSheetId="1" hidden="1">THANG</definedName>
    <definedName name="Google_Sheet_Link_1862714421_301111680" hidden="1">THANG</definedName>
    <definedName name="Google_Sheet_Link_1889832617_517435780" localSheetId="1" hidden="1">_2_BKNX_DVT</definedName>
    <definedName name="Google_Sheet_Link_1889832617_517435780" hidden="1">_2_BKNX_DVT</definedName>
    <definedName name="Google_Sheet_Link_1894701497_517435780" localSheetId="1" hidden="1">_2_BKNX_SLCHUNGTU</definedName>
    <definedName name="Google_Sheet_Link_1894701497_517435780" hidden="1">_2_BKNX_SLCHUNGTU</definedName>
    <definedName name="Google_Sheet_Link_1932347774" localSheetId="1" hidden="1">_2_BKNX_DGXUAT</definedName>
    <definedName name="Google_Sheet_Link_1932347774" hidden="1">_2_BKNX_DGXUAT</definedName>
    <definedName name="Google_Sheet_Link_1934769880" localSheetId="1" hidden="1">MA_TKTH</definedName>
    <definedName name="Google_Sheet_Link_1934769880" hidden="1">MA_TKTH</definedName>
    <definedName name="Google_Sheet_Link_1991141285" localSheetId="1" hidden="1">_5_VALIDATION_PN</definedName>
    <definedName name="Google_Sheet_Link_1991141285" hidden="1">_5_VALIDATION_PN</definedName>
    <definedName name="Google_Sheet_Link_2023294061_1805577521" hidden="1">#N/A</definedName>
    <definedName name="Google_Sheet_Link_2056428321" localSheetId="1" hidden="1">_2_BKNX_DGNHAP</definedName>
    <definedName name="Google_Sheet_Link_2056428321" hidden="1">_2_BKNX_DGNHAP</definedName>
    <definedName name="Google_Sheet_Link_2088285569_2041442710" localSheetId="3" hidden="1">NH</definedName>
    <definedName name="Google_Sheet_Link_2088285569_2041442710" localSheetId="1" hidden="1">NH</definedName>
    <definedName name="Google_Sheet_Link_2088285569_2041442710" localSheetId="0" hidden="1">NH</definedName>
    <definedName name="Google_Sheet_Link_2088285569_2041442710" hidden="1">NH</definedName>
    <definedName name="Google_Sheet_Link_2129197838" localSheetId="1" hidden="1">_5_VALIDATION_PX</definedName>
    <definedName name="Google_Sheet_Link_2129197838" hidden="1">_5_VALIDATION_PX</definedName>
    <definedName name="Google_Sheet_Link_224901144" localSheetId="1" hidden="1">_3_Sodudauky_HH</definedName>
    <definedName name="Google_Sheet_Link_224901144" hidden="1">_3_Sodudauky_HH</definedName>
    <definedName name="Google_Sheet_Link_261168547" localSheetId="1" hidden="1">_5_VALIDATION_PT</definedName>
    <definedName name="Google_Sheet_Link_261168547" hidden="1">_5_VALIDATION_PT</definedName>
    <definedName name="Google_Sheet_Link_271527125_2041442710" localSheetId="3" hidden="1">_131DH</definedName>
    <definedName name="Google_Sheet_Link_271527125_2041442710" localSheetId="1" hidden="1">_131DH</definedName>
    <definedName name="Google_Sheet_Link_271527125_2041442710" localSheetId="0" hidden="1">_131DH</definedName>
    <definedName name="Google_Sheet_Link_271527125_2041442710" hidden="1">_131DH</definedName>
    <definedName name="Google_Sheet_Link_281000087" localSheetId="1" hidden="1">_6_MST</definedName>
    <definedName name="Google_Sheet_Link_281000087" hidden="1">_6_MST</definedName>
    <definedName name="Google_Sheet_Link_341581532" localSheetId="1" hidden="1">_2_BKNX_MAHH</definedName>
    <definedName name="Google_Sheet_Link_341581532" hidden="1">_2_BKNX_MAHH</definedName>
    <definedName name="Google_Sheet_Link_399740199_397673048" hidden="1">#N/A</definedName>
    <definedName name="Google_Sheet_Link_48701703_1681688878" hidden="1">#N/A</definedName>
    <definedName name="Google_Sheet_Link_640532970" localSheetId="1" hidden="1">_1_dataSQTM</definedName>
    <definedName name="Google_Sheet_Link_640532970" hidden="1">_1_dataSQTM</definedName>
    <definedName name="Google_Sheet_Link_67819498" localSheetId="1" hidden="1">_5_VALIDATION_UNC</definedName>
    <definedName name="Google_Sheet_Link_67819498" hidden="1">_5_VALIDATION_UNC</definedName>
    <definedName name="Google_Sheet_Link_680877564" localSheetId="1" hidden="1">_5_VALIDATION_PC</definedName>
    <definedName name="Google_Sheet_Link_680877564" hidden="1">_5_VALIDATION_PC</definedName>
    <definedName name="Google_Sheet_Link_700938533" localSheetId="1" hidden="1">_2_BKNX_SLXUAT</definedName>
    <definedName name="Google_Sheet_Link_700938533" hidden="1">_2_BKNX_SLXUAT</definedName>
    <definedName name="Google_Sheet_Link_787338770" localSheetId="1" hidden="1">_1_DATABKChuyenkhoan</definedName>
    <definedName name="Google_Sheet_Link_787338770" hidden="1">_1_DATABKChuyenkhoan</definedName>
    <definedName name="Google_Sheet_Link_86350444_517435780" localSheetId="1" hidden="1">_2_BKNX_DGXUAT</definedName>
    <definedName name="Google_Sheet_Link_86350444_517435780" hidden="1">_2_BKNX_DGXUAT</definedName>
    <definedName name="Google_Sheet_Link_968798285" localSheetId="1" hidden="1">_2_BKNX_SLCHUNGTU</definedName>
    <definedName name="Google_Sheet_Link_968798285" hidden="1">_2_BKNX_SLCHUNGTU</definedName>
    <definedName name="NHUT" hidden="1">DMNCC</definedName>
    <definedName name="nhutmt" hidden="1">DMNCC</definedName>
    <definedName name="Z_41CEA067_E3E0_46E5_A17C_9405684D32E4_.wvu.FilterData" localSheetId="3" hidden="1">'BAO HIEM'!$A$1:$BD$28</definedName>
    <definedName name="Z_41CEA067_E3E0_46E5_A17C_9405684D32E4_.wvu.FilterData" localSheetId="0" hidden="1">'PHIEU LUONG'!$A$3:$AR$7</definedName>
    <definedName name="Z_41CEA067_E3E0_46E5_A17C_9405684D32E4_.wvu.FilterData" localSheetId="2" hidden="1">'TINH LUONG'!$A$1:$BJ$28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3" l="1"/>
  <c r="F26" i="3"/>
  <c r="F19" i="3"/>
  <c r="F17" i="3"/>
  <c r="F12" i="3"/>
  <c r="G9" i="3"/>
  <c r="D9" i="3"/>
  <c r="D8" i="3"/>
  <c r="D21" i="1"/>
  <c r="D20" i="1"/>
  <c r="D15" i="1"/>
  <c r="D16" i="1"/>
  <c r="D17" i="1"/>
  <c r="D18" i="1"/>
  <c r="D14" i="1"/>
  <c r="D11" i="1"/>
  <c r="D11" i="6" s="1"/>
  <c r="D12" i="1"/>
  <c r="D12" i="6" s="1"/>
  <c r="D10" i="1"/>
  <c r="D10" i="6" s="1"/>
  <c r="D10" i="5"/>
  <c r="D21" i="5"/>
  <c r="D20" i="5"/>
  <c r="D15" i="5"/>
  <c r="D16" i="5"/>
  <c r="D17" i="5"/>
  <c r="D18" i="5"/>
  <c r="D14" i="5"/>
  <c r="D11" i="5"/>
  <c r="D12" i="5"/>
  <c r="C21" i="1"/>
  <c r="C21" i="6" s="1"/>
  <c r="C20" i="1"/>
  <c r="C15" i="1"/>
  <c r="C15" i="6" s="1"/>
  <c r="C16" i="1"/>
  <c r="C16" i="6" s="1"/>
  <c r="C17" i="1"/>
  <c r="C17" i="6" s="1"/>
  <c r="C18" i="1"/>
  <c r="C18" i="6" s="1"/>
  <c r="C14" i="1"/>
  <c r="C14" i="6" s="1"/>
  <c r="C11" i="1"/>
  <c r="C11" i="6" s="1"/>
  <c r="C12" i="1"/>
  <c r="C12" i="6" s="1"/>
  <c r="C10" i="1"/>
  <c r="C21" i="5"/>
  <c r="C20" i="5"/>
  <c r="C15" i="5"/>
  <c r="C16" i="5"/>
  <c r="C17" i="5"/>
  <c r="C18" i="5"/>
  <c r="C14" i="5"/>
  <c r="C11" i="5"/>
  <c r="C12" i="5"/>
  <c r="C10" i="5"/>
  <c r="E21" i="6"/>
  <c r="E20" i="6"/>
  <c r="E18" i="6"/>
  <c r="E17" i="6"/>
  <c r="E16" i="6"/>
  <c r="E15" i="6"/>
  <c r="E14" i="6"/>
  <c r="E12" i="6"/>
  <c r="E11" i="6"/>
  <c r="E10" i="6"/>
  <c r="D21" i="6"/>
  <c r="D20" i="6"/>
  <c r="D18" i="6"/>
  <c r="D17" i="6"/>
  <c r="D16" i="6"/>
  <c r="D15" i="6"/>
  <c r="D14" i="6"/>
  <c r="C10" i="6"/>
  <c r="C20" i="6"/>
  <c r="AM21" i="5"/>
  <c r="AM20" i="5"/>
  <c r="AM18" i="5"/>
  <c r="AM17" i="5"/>
  <c r="AM16" i="5"/>
  <c r="AM14" i="5"/>
  <c r="AM15" i="5"/>
  <c r="AM12" i="5"/>
  <c r="AM11" i="5"/>
  <c r="AM10" i="5"/>
  <c r="C4" i="5"/>
  <c r="E8" i="5" s="1"/>
  <c r="AN21" i="5"/>
  <c r="AK21" i="5"/>
  <c r="AL21" i="5" s="1"/>
  <c r="AJ21" i="5"/>
  <c r="AN20" i="5"/>
  <c r="AN19" i="5" s="1"/>
  <c r="AK20" i="5"/>
  <c r="AJ20" i="5"/>
  <c r="AN18" i="5"/>
  <c r="AK18" i="5"/>
  <c r="AJ18" i="5"/>
  <c r="AN17" i="5"/>
  <c r="AK17" i="5"/>
  <c r="AJ17" i="5"/>
  <c r="AN16" i="5"/>
  <c r="AK16" i="5"/>
  <c r="AL16" i="5" s="1"/>
  <c r="AJ16" i="5"/>
  <c r="AN15" i="5"/>
  <c r="AK15" i="5"/>
  <c r="AJ15" i="5"/>
  <c r="AL15" i="5" s="1"/>
  <c r="AN14" i="5"/>
  <c r="AK14" i="5"/>
  <c r="AJ14" i="5"/>
  <c r="AL14" i="5" s="1"/>
  <c r="AN13" i="5"/>
  <c r="AN12" i="5"/>
  <c r="AK12" i="5"/>
  <c r="AJ12" i="5"/>
  <c r="AN11" i="5"/>
  <c r="AK11" i="5"/>
  <c r="AJ11" i="5"/>
  <c r="AL11" i="5" s="1"/>
  <c r="AN10" i="5"/>
  <c r="AK10" i="5"/>
  <c r="AK9" i="5" s="1"/>
  <c r="AJ10" i="5"/>
  <c r="F20" i="6" l="1"/>
  <c r="J20" i="6" s="1"/>
  <c r="E13" i="6"/>
  <c r="AN9" i="5"/>
  <c r="AK19" i="5"/>
  <c r="AL17" i="5"/>
  <c r="AL12" i="5"/>
  <c r="AL18" i="5"/>
  <c r="F16" i="6"/>
  <c r="J16" i="6" s="1"/>
  <c r="E19" i="6"/>
  <c r="AL10" i="5"/>
  <c r="AM19" i="5"/>
  <c r="AJ9" i="5"/>
  <c r="E9" i="6"/>
  <c r="E3" i="6"/>
  <c r="G3" i="1"/>
  <c r="B5" i="3"/>
  <c r="AL20" i="5"/>
  <c r="AO20" i="5" s="1"/>
  <c r="AJ19" i="5"/>
  <c r="AN22" i="5"/>
  <c r="AO21" i="5"/>
  <c r="F21" i="6" s="1"/>
  <c r="J21" i="6" s="1"/>
  <c r="AM13" i="5"/>
  <c r="AO15" i="5"/>
  <c r="AO16" i="5"/>
  <c r="AO17" i="5"/>
  <c r="AO18" i="5"/>
  <c r="AO12" i="5"/>
  <c r="F12" i="6" s="1"/>
  <c r="AO11" i="5"/>
  <c r="F11" i="6" s="1"/>
  <c r="AM9" i="5"/>
  <c r="AO10" i="5"/>
  <c r="F10" i="6" s="1"/>
  <c r="AL13" i="5"/>
  <c r="AO14" i="5"/>
  <c r="F8" i="5"/>
  <c r="E7" i="5"/>
  <c r="AL9" i="5"/>
  <c r="AK13" i="5"/>
  <c r="AJ13" i="5"/>
  <c r="F18" i="1" l="1"/>
  <c r="F12" i="1"/>
  <c r="F17" i="1"/>
  <c r="F16" i="1"/>
  <c r="F15" i="1"/>
  <c r="F17" i="6"/>
  <c r="J17" i="6" s="1"/>
  <c r="F15" i="6"/>
  <c r="J15" i="6" s="1"/>
  <c r="F10" i="1"/>
  <c r="F13" i="3" s="1"/>
  <c r="AK22" i="5"/>
  <c r="E22" i="6"/>
  <c r="F14" i="6"/>
  <c r="J14" i="6" s="1"/>
  <c r="F21" i="1"/>
  <c r="AO9" i="5"/>
  <c r="F11" i="1"/>
  <c r="F18" i="6"/>
  <c r="J18" i="6" s="1"/>
  <c r="AL19" i="5"/>
  <c r="AL22" i="5"/>
  <c r="AJ22" i="5"/>
  <c r="AO19" i="5"/>
  <c r="F20" i="1"/>
  <c r="AM22" i="5"/>
  <c r="AO13" i="5"/>
  <c r="F14" i="1"/>
  <c r="G8" i="5"/>
  <c r="F7" i="5"/>
  <c r="AO22" i="5" l="1"/>
  <c r="H8" i="5"/>
  <c r="G7" i="5"/>
  <c r="H7" i="5" l="1"/>
  <c r="I8" i="5"/>
  <c r="J8" i="5" l="1"/>
  <c r="I7" i="5"/>
  <c r="K8" i="5" l="1"/>
  <c r="J7" i="5"/>
  <c r="L8" i="5" l="1"/>
  <c r="K7" i="5"/>
  <c r="L7" i="5" l="1"/>
  <c r="M8" i="5"/>
  <c r="N8" i="5" l="1"/>
  <c r="M7" i="5"/>
  <c r="O8" i="5" l="1"/>
  <c r="N7" i="5"/>
  <c r="P8" i="5" l="1"/>
  <c r="O7" i="5"/>
  <c r="Q8" i="5" l="1"/>
  <c r="P7" i="5"/>
  <c r="R8" i="5" l="1"/>
  <c r="Q7" i="5"/>
  <c r="S8" i="5" l="1"/>
  <c r="R7" i="5"/>
  <c r="T8" i="5" l="1"/>
  <c r="S7" i="5"/>
  <c r="U8" i="5" l="1"/>
  <c r="T7" i="5"/>
  <c r="V8" i="5" l="1"/>
  <c r="U7" i="5"/>
  <c r="W8" i="5" l="1"/>
  <c r="V7" i="5"/>
  <c r="X8" i="5" l="1"/>
  <c r="W7" i="5"/>
  <c r="Y8" i="5" l="1"/>
  <c r="X7" i="5"/>
  <c r="Z8" i="5" l="1"/>
  <c r="Y7" i="5"/>
  <c r="AA8" i="5" l="1"/>
  <c r="Z7" i="5"/>
  <c r="AB8" i="5" l="1"/>
  <c r="AA7" i="5"/>
  <c r="AC8" i="5" l="1"/>
  <c r="AB7" i="5"/>
  <c r="AD8" i="5" l="1"/>
  <c r="AC7" i="5"/>
  <c r="AE8" i="5" l="1"/>
  <c r="AD7" i="5"/>
  <c r="AF8" i="5" l="1"/>
  <c r="AE7" i="5"/>
  <c r="AG8" i="5" l="1"/>
  <c r="AF7" i="5"/>
  <c r="AH8" i="5" l="1"/>
  <c r="AG7" i="5"/>
  <c r="AI8" i="5" l="1"/>
  <c r="AI7" i="5" s="1"/>
  <c r="AH7" i="5"/>
  <c r="AH6" i="5" l="1"/>
  <c r="F9" i="1" s="1"/>
  <c r="J21" i="1"/>
  <c r="J20" i="1"/>
  <c r="Q9" i="1"/>
  <c r="H21" i="1"/>
  <c r="R21" i="1"/>
  <c r="R20" i="1"/>
  <c r="H20" i="1"/>
  <c r="H15" i="1"/>
  <c r="J15" i="1"/>
  <c r="R15" i="1"/>
  <c r="H16" i="1"/>
  <c r="J16" i="1"/>
  <c r="R16" i="1"/>
  <c r="H17" i="1"/>
  <c r="J17" i="1"/>
  <c r="R17" i="1"/>
  <c r="H18" i="1"/>
  <c r="J18" i="1"/>
  <c r="R18" i="1"/>
  <c r="R14" i="1"/>
  <c r="J14" i="1"/>
  <c r="H14" i="1"/>
  <c r="U9" i="1"/>
  <c r="R11" i="1"/>
  <c r="R12" i="1"/>
  <c r="H11" i="1"/>
  <c r="J11" i="1"/>
  <c r="H12" i="1"/>
  <c r="J12" i="1"/>
  <c r="R10" i="1"/>
  <c r="F27" i="3" s="1"/>
  <c r="J10" i="1"/>
  <c r="F18" i="3" s="1"/>
  <c r="H10" i="1"/>
  <c r="F16" i="3" s="1"/>
  <c r="F9" i="6" l="1"/>
  <c r="G16" i="6" s="1"/>
  <c r="G21" i="1"/>
  <c r="L21" i="1" s="1"/>
  <c r="G14" i="1"/>
  <c r="O14" i="1" s="1"/>
  <c r="G11" i="1"/>
  <c r="N11" i="1" s="1"/>
  <c r="G16" i="1"/>
  <c r="N16" i="1" s="1"/>
  <c r="G18" i="1"/>
  <c r="M18" i="1" s="1"/>
  <c r="G12" i="1"/>
  <c r="M12" i="1" s="1"/>
  <c r="G10" i="1"/>
  <c r="G15" i="1"/>
  <c r="O15" i="1" s="1"/>
  <c r="G17" i="1"/>
  <c r="N17" i="1" s="1"/>
  <c r="G20" i="1"/>
  <c r="O20" i="1" s="1"/>
  <c r="G17" i="6"/>
  <c r="G14" i="6"/>
  <c r="G18" i="6"/>
  <c r="G10" i="6"/>
  <c r="G20" i="6"/>
  <c r="G12" i="6"/>
  <c r="G11" i="6"/>
  <c r="G15" i="6"/>
  <c r="G21" i="6"/>
  <c r="N10" i="1" l="1"/>
  <c r="F23" i="3" s="1"/>
  <c r="F14" i="3"/>
  <c r="M21" i="1"/>
  <c r="O21" i="1"/>
  <c r="M11" i="1"/>
  <c r="L11" i="1"/>
  <c r="L16" i="1"/>
  <c r="N21" i="1"/>
  <c r="N18" i="1"/>
  <c r="O11" i="1"/>
  <c r="N14" i="1"/>
  <c r="M14" i="1"/>
  <c r="L14" i="1"/>
  <c r="M16" i="1"/>
  <c r="L20" i="1"/>
  <c r="N20" i="1"/>
  <c r="M20" i="1"/>
  <c r="L15" i="1"/>
  <c r="M17" i="1"/>
  <c r="L10" i="1"/>
  <c r="F20" i="3" s="1"/>
  <c r="O17" i="1"/>
  <c r="L12" i="1"/>
  <c r="O12" i="1"/>
  <c r="M10" i="1"/>
  <c r="F22" i="3" s="1"/>
  <c r="O10" i="1"/>
  <c r="F24" i="3" s="1"/>
  <c r="O16" i="1"/>
  <c r="L18" i="1"/>
  <c r="M15" i="1"/>
  <c r="L17" i="1"/>
  <c r="N15" i="1"/>
  <c r="O18" i="1"/>
  <c r="P18" i="1" s="1"/>
  <c r="G9" i="1"/>
  <c r="N12" i="1"/>
  <c r="N12" i="6"/>
  <c r="J12" i="6"/>
  <c r="I12" i="6"/>
  <c r="H12" i="6"/>
  <c r="L12" i="6"/>
  <c r="M12" i="6"/>
  <c r="H20" i="6"/>
  <c r="I20" i="6"/>
  <c r="G19" i="6"/>
  <c r="N20" i="6"/>
  <c r="L20" i="6"/>
  <c r="M20" i="6"/>
  <c r="L10" i="6"/>
  <c r="J10" i="6"/>
  <c r="I10" i="6"/>
  <c r="H10" i="6"/>
  <c r="N10" i="6"/>
  <c r="G9" i="6"/>
  <c r="M10" i="6"/>
  <c r="H18" i="6"/>
  <c r="I18" i="6"/>
  <c r="N18" i="6"/>
  <c r="L18" i="6"/>
  <c r="M18" i="6"/>
  <c r="I16" i="6"/>
  <c r="H16" i="6"/>
  <c r="M16" i="6"/>
  <c r="L16" i="6"/>
  <c r="N16" i="6"/>
  <c r="N14" i="6"/>
  <c r="H14" i="6"/>
  <c r="I14" i="6"/>
  <c r="L14" i="6"/>
  <c r="M14" i="6"/>
  <c r="G13" i="6"/>
  <c r="H21" i="6"/>
  <c r="I21" i="6"/>
  <c r="N21" i="6"/>
  <c r="M21" i="6"/>
  <c r="L21" i="6"/>
  <c r="N17" i="6"/>
  <c r="H17" i="6"/>
  <c r="I17" i="6"/>
  <c r="M17" i="6"/>
  <c r="L17" i="6"/>
  <c r="I15" i="6"/>
  <c r="H15" i="6"/>
  <c r="L15" i="6"/>
  <c r="N15" i="6"/>
  <c r="M15" i="6"/>
  <c r="I11" i="6"/>
  <c r="J11" i="6"/>
  <c r="H11" i="6"/>
  <c r="L11" i="6"/>
  <c r="M11" i="6"/>
  <c r="N11" i="6"/>
  <c r="P21" i="1"/>
  <c r="S21" i="1" s="1"/>
  <c r="T21" i="1" s="1"/>
  <c r="V21" i="1" s="1"/>
  <c r="P11" i="1"/>
  <c r="P14" i="1" l="1"/>
  <c r="K15" i="6"/>
  <c r="P16" i="1"/>
  <c r="S16" i="1" s="1"/>
  <c r="T16" i="1" s="1"/>
  <c r="V16" i="1" s="1"/>
  <c r="S18" i="1"/>
  <c r="T18" i="1" s="1"/>
  <c r="V18" i="1" s="1"/>
  <c r="P15" i="1"/>
  <c r="P17" i="1"/>
  <c r="S17" i="1" s="1"/>
  <c r="T17" i="1" s="1"/>
  <c r="V17" i="1" s="1"/>
  <c r="P20" i="1"/>
  <c r="P19" i="1" s="1"/>
  <c r="P10" i="1"/>
  <c r="P12" i="1"/>
  <c r="S12" i="1" s="1"/>
  <c r="T12" i="1" s="1"/>
  <c r="V12" i="1" s="1"/>
  <c r="K18" i="6"/>
  <c r="G22" i="6"/>
  <c r="O15" i="6"/>
  <c r="P15" i="6" s="1"/>
  <c r="K17" i="6"/>
  <c r="O16" i="6"/>
  <c r="O18" i="6"/>
  <c r="O10" i="6"/>
  <c r="K16" i="6"/>
  <c r="O21" i="6"/>
  <c r="O20" i="6"/>
  <c r="O14" i="6"/>
  <c r="O11" i="6"/>
  <c r="O17" i="6"/>
  <c r="K14" i="6"/>
  <c r="O12" i="6"/>
  <c r="K11" i="6"/>
  <c r="K21" i="6"/>
  <c r="K10" i="6"/>
  <c r="K20" i="6"/>
  <c r="K12" i="6"/>
  <c r="S14" i="1"/>
  <c r="T14" i="1" s="1"/>
  <c r="V14" i="1" s="1"/>
  <c r="S20" i="1"/>
  <c r="S11" i="1"/>
  <c r="E19" i="1"/>
  <c r="I19" i="1"/>
  <c r="K19" i="1"/>
  <c r="G19" i="1"/>
  <c r="U19" i="1"/>
  <c r="G13" i="1"/>
  <c r="K13" i="1"/>
  <c r="I13" i="1"/>
  <c r="E13" i="1"/>
  <c r="U13" i="1"/>
  <c r="K9" i="1"/>
  <c r="I9" i="1"/>
  <c r="H9" i="1"/>
  <c r="E9" i="1"/>
  <c r="S10" i="1" l="1"/>
  <c r="F25" i="3"/>
  <c r="P13" i="1"/>
  <c r="S15" i="1"/>
  <c r="T15" i="1" s="1"/>
  <c r="T13" i="1" s="1"/>
  <c r="P9" i="1"/>
  <c r="P22" i="1" s="1"/>
  <c r="O19" i="6"/>
  <c r="P18" i="6"/>
  <c r="P17" i="6"/>
  <c r="P16" i="6"/>
  <c r="O9" i="6"/>
  <c r="P12" i="6"/>
  <c r="P11" i="6"/>
  <c r="G22" i="1"/>
  <c r="O13" i="6"/>
  <c r="K9" i="6"/>
  <c r="P10" i="6"/>
  <c r="T20" i="1"/>
  <c r="T19" i="1" s="1"/>
  <c r="P21" i="6"/>
  <c r="K13" i="6"/>
  <c r="P14" i="6"/>
  <c r="K19" i="6"/>
  <c r="P20" i="6"/>
  <c r="T11" i="1"/>
  <c r="L9" i="1"/>
  <c r="E22" i="1"/>
  <c r="F28" i="3" l="1"/>
  <c r="T10" i="1"/>
  <c r="P13" i="6"/>
  <c r="O22" i="6"/>
  <c r="P9" i="6"/>
  <c r="P19" i="6"/>
  <c r="K22" i="6"/>
  <c r="V20" i="1"/>
  <c r="V15" i="1"/>
  <c r="V11" i="1"/>
  <c r="T9" i="1"/>
  <c r="V10" i="1" l="1"/>
  <c r="F31" i="3" s="1"/>
  <c r="F29" i="3"/>
  <c r="P22" i="6"/>
  <c r="J13" i="1"/>
  <c r="H13" i="1"/>
  <c r="V9" i="1" l="1"/>
  <c r="L13" i="1"/>
  <c r="V13" i="1" l="1"/>
  <c r="J9" i="1"/>
  <c r="T22" i="1"/>
  <c r="J19" i="1" l="1"/>
  <c r="J22" i="1" s="1"/>
  <c r="H19" i="1"/>
  <c r="H22" i="1" s="1"/>
  <c r="I22" i="1"/>
  <c r="U22" i="1"/>
  <c r="K22" i="1"/>
  <c r="L19" i="1" l="1"/>
  <c r="L22" i="1" s="1"/>
  <c r="V19" i="1" l="1"/>
  <c r="V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AM7" authorId="0" shapeId="0" xr:uid="{630B64EA-C45C-477A-B8B9-317A894C3E91}">
      <text>
        <r>
          <rPr>
            <b/>
            <sz val="9"/>
            <color indexed="81"/>
            <rFont val="Tahoma"/>
            <family val="2"/>
          </rPr>
          <t>nghỉ lễ + nghỉ bù</t>
        </r>
      </text>
    </comment>
    <comment ref="AO7" authorId="0" shapeId="0" xr:uid="{52B77A90-CCA9-4A8B-8DFE-B06F48E68AA6}">
      <text>
        <r>
          <rPr>
            <b/>
            <sz val="9"/>
            <color indexed="81"/>
            <rFont val="Tahoma"/>
            <family val="2"/>
          </rPr>
          <t>TỔNG NGÀY CÔNG TÍNH LƯƠNG</t>
        </r>
      </text>
    </comment>
    <comment ref="C30" authorId="0" shapeId="0" xr:uid="{CBE11E4E-FCF9-461F-9266-BAC6D4B7B121}">
      <text>
        <r>
          <rPr>
            <b/>
            <sz val="9"/>
            <color indexed="81"/>
            <rFont val="Tahoma"/>
            <family val="2"/>
          </rPr>
          <t>nghỉ lễ</t>
        </r>
      </text>
    </comment>
    <comment ref="C31" authorId="0" shapeId="0" xr:uid="{C7C29787-863F-4605-AE76-7B340476FEC6}">
      <text>
        <r>
          <rPr>
            <b/>
            <sz val="9"/>
            <color indexed="81"/>
            <rFont val="Tahoma"/>
            <family val="2"/>
          </rPr>
          <t>nghỉ bù vẫn hưởng lương, vd dùng giờ tăng ca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G3" authorId="0" shapeId="0" xr:uid="{8B119223-98C6-4B35-8BD1-157C26B72AC9}">
      <text>
        <r>
          <rPr>
            <b/>
            <sz val="9"/>
            <color indexed="81"/>
            <rFont val="Tahoma"/>
            <family val="2"/>
          </rPr>
          <t>THÁNG LẤY THEO BẢNG CHẤM CÔNG</t>
        </r>
      </text>
    </comment>
    <comment ref="F6" authorId="0" shapeId="0" xr:uid="{D27510C3-B062-438B-81BD-766E7737642D}">
      <text>
        <r>
          <rPr>
            <b/>
            <sz val="9"/>
            <color indexed="81"/>
            <rFont val="Tahoma"/>
            <family val="2"/>
          </rPr>
          <t>NGÀY THỰC TẾ NHÂN VIÊN ĐI LÀM</t>
        </r>
      </text>
    </comment>
    <comment ref="R7" authorId="0" shapeId="0" xr:uid="{64FEFFF9-B4F0-416E-A567-C4AE25EE9391}">
      <text>
        <r>
          <rPr>
            <b/>
            <sz val="9"/>
            <color indexed="81"/>
            <rFont val="Tahoma"/>
            <family val="2"/>
          </rPr>
          <t>phụ thuộc vào Vùng và số người phụ thuộc
Vùng 1: 11,000,000
1 người: 4,400,000</t>
        </r>
      </text>
    </comment>
    <comment ref="S7" authorId="0" shapeId="0" xr:uid="{2623E01E-971A-45D4-864F-1857F8D62D09}">
      <text>
        <r>
          <rPr>
            <b/>
            <sz val="9"/>
            <color indexed="81"/>
            <rFont val="Tahoma"/>
            <family val="2"/>
          </rPr>
          <t>= Tổng thu nhâpk - Tổng BH - Số tiền giảm trừ gia cảnh</t>
        </r>
      </text>
    </comment>
    <comment ref="T7" authorId="0" shapeId="0" xr:uid="{43F029CC-7925-4739-ABD7-EC9A813E47B8}">
      <text>
        <r>
          <rPr>
            <b/>
            <sz val="9"/>
            <color indexed="81"/>
            <rFont val="Tahoma"/>
            <family val="2"/>
          </rPr>
          <t>tham khảo cách tình theo vùng, theo mức thu nhập trên trang web https://www.topcv.vn/tinh-thue-thu-nhap-ca-nhan</t>
        </r>
      </text>
    </comment>
    <comment ref="F9" authorId="0" shapeId="0" xr:uid="{A21F93DE-061A-4426-8BA1-F97F6454A463}">
      <text>
        <r>
          <rPr>
            <b/>
            <sz val="9"/>
            <color indexed="81"/>
            <rFont val="Tahoma"/>
            <family val="2"/>
          </rPr>
          <t>SỐ NGÀY LÀM VIỆC TRONG THÁNG
Mỗi tháng sẽ có tổng số ngày làm việc khác nhau
vd tháng 8 có 27 ngày làm việc, tính luôn ngày T7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F6" authorId="0" shapeId="0" xr:uid="{07340A16-F81A-442B-83CD-7A9201AAD3C7}">
      <text>
        <r>
          <rPr>
            <b/>
            <sz val="9"/>
            <color indexed="81"/>
            <rFont val="Tahoma"/>
            <family val="2"/>
          </rPr>
          <t>NGÀY THỰC TẾ NHÂN VIÊN ĐI LÀM</t>
        </r>
      </text>
    </comment>
    <comment ref="F9" authorId="0" shapeId="0" xr:uid="{19FF3827-2FD3-4F9D-9EE0-CEBD6DC8A001}">
      <text>
        <r>
          <rPr>
            <b/>
            <sz val="9"/>
            <color indexed="81"/>
            <rFont val="Tahoma"/>
            <family val="2"/>
          </rPr>
          <t>SỐ NGÀY LÀM VIỆC TRONG THÁNG
Mỗi tháng sẽ có tổng số ngày làm việc khác nhau
vd tháng 8 có 27 ngày làm việc, tính luôn ngày T7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<sst xmlns="http://schemas.openxmlformats.org/spreadsheetml/2006/main" count="505" uniqueCount="130">
  <si>
    <t>STT</t>
  </si>
  <si>
    <t>Mã NV</t>
  </si>
  <si>
    <t>Họ và tên</t>
  </si>
  <si>
    <t>Chức 
vụ</t>
  </si>
  <si>
    <t>Tổng
Thu Nhập</t>
  </si>
  <si>
    <t>Thực 
lĩnh</t>
  </si>
  <si>
    <t>Ăn trưa</t>
  </si>
  <si>
    <t>Điện thoại</t>
  </si>
  <si>
    <t>Xăng xe</t>
  </si>
  <si>
    <t>BHXH
(8%)</t>
  </si>
  <si>
    <t>BHYT
(1,5%)</t>
  </si>
  <si>
    <t>BHTN
(1%)</t>
  </si>
  <si>
    <t>Tạm
ứng</t>
  </si>
  <si>
    <t>A</t>
  </si>
  <si>
    <t>B</t>
  </si>
  <si>
    <t>Người lập biểu</t>
  </si>
  <si>
    <t>Kế toán trưởng</t>
  </si>
  <si>
    <t>(Ký, họ tên)</t>
  </si>
  <si>
    <t>C</t>
  </si>
  <si>
    <t>Bộ phận Nhân sự</t>
  </si>
  <si>
    <t>NGUYỄN VĂN A</t>
  </si>
  <si>
    <t>TRẦN THANH B</t>
  </si>
  <si>
    <t>HỒ THỊ C</t>
  </si>
  <si>
    <t>Bộ phận Sản xuất</t>
  </si>
  <si>
    <t>HÀ VĂN D</t>
  </si>
  <si>
    <t>LÊ PHƯƠNG E</t>
  </si>
  <si>
    <t>LÝ MINH F</t>
  </si>
  <si>
    <t>HOÀNG VĂN G</t>
  </si>
  <si>
    <t>ĐỖ TẤN H</t>
  </si>
  <si>
    <t>Bộ phận Bán hàng</t>
  </si>
  <si>
    <t>LÂM VĂN K</t>
  </si>
  <si>
    <t>TRỊNH NGỌC M</t>
  </si>
  <si>
    <t>NV01</t>
  </si>
  <si>
    <t>NV02</t>
  </si>
  <si>
    <t>NV03</t>
  </si>
  <si>
    <t>NV04</t>
  </si>
  <si>
    <t>NV05</t>
  </si>
  <si>
    <t>NV06</t>
  </si>
  <si>
    <t>NV07</t>
  </si>
  <si>
    <t>NV08</t>
  </si>
  <si>
    <t>NV09</t>
  </si>
  <si>
    <t>NV10</t>
  </si>
  <si>
    <t>Manager</t>
  </si>
  <si>
    <t>Staff</t>
  </si>
  <si>
    <t>Leader</t>
  </si>
  <si>
    <t>Tổng A + B + C</t>
  </si>
  <si>
    <t>Lương
cơ bản</t>
  </si>
  <si>
    <t>PHỤ CẤP (Không đóng BHXH)</t>
  </si>
  <si>
    <t>Ngày công</t>
  </si>
  <si>
    <t>Lương theo ngày công</t>
  </si>
  <si>
    <t>Chức vụ</t>
  </si>
  <si>
    <t>CÁC KHOẢNG KHẤU TRỪ VÀO LƯƠNG</t>
  </si>
  <si>
    <t>Người phụ thuộc</t>
  </si>
  <si>
    <t>Thuế 
TNCN</t>
  </si>
  <si>
    <t>Thu nhập chịu thuế</t>
  </si>
  <si>
    <t>Số tiền giảm trừ gia cảnh</t>
  </si>
  <si>
    <t>Tổng tiền BH</t>
  </si>
  <si>
    <t>C1</t>
  </si>
  <si>
    <t>C2</t>
  </si>
  <si>
    <t>C3</t>
  </si>
  <si>
    <t>D</t>
  </si>
  <si>
    <t xml:space="preserve">CÔNG TY: </t>
  </si>
  <si>
    <t>HCM, ngày ... tháng ... năm 2024</t>
  </si>
  <si>
    <t>Giám Đốc Công ty</t>
  </si>
  <si>
    <t>(Ký, họ tên, đóng dấu)</t>
  </si>
  <si>
    <t>PHIẾU LƯƠNG</t>
  </si>
  <si>
    <t>Bộ phận</t>
  </si>
  <si>
    <t>HỌ VÀ TÊN:</t>
  </si>
  <si>
    <t>Bộ phận:</t>
  </si>
  <si>
    <t>Chức vụ:</t>
  </si>
  <si>
    <t>HẠN MỤC</t>
  </si>
  <si>
    <t>SỐ TIỀN</t>
  </si>
  <si>
    <t>Nhân sự</t>
  </si>
  <si>
    <t>Sản xuất</t>
  </si>
  <si>
    <t>Bán hàng</t>
  </si>
  <si>
    <t>Lương cơ bản</t>
  </si>
  <si>
    <t>Số ngày công</t>
  </si>
  <si>
    <t>Lương tính theo ngày công</t>
  </si>
  <si>
    <t>Phụ cấp ăn trưa</t>
  </si>
  <si>
    <t>Phụ cấp xăng/xe</t>
  </si>
  <si>
    <t>Phụ cấp điện thoại</t>
  </si>
  <si>
    <t>Phụ cấp chức vụ</t>
  </si>
  <si>
    <t>PHỤ CẤP</t>
  </si>
  <si>
    <t>Tổng thu nhập</t>
  </si>
  <si>
    <t>CÁC KHOẢNG CẤU TRỪ VÀO LƯƠNG</t>
  </si>
  <si>
    <t>BHXH (8%)</t>
  </si>
  <si>
    <t>BHYT (1,5%)</t>
  </si>
  <si>
    <t>BHTN (1%)</t>
  </si>
  <si>
    <t>Thuế TNCN</t>
  </si>
  <si>
    <t>Tạm ứng</t>
  </si>
  <si>
    <t>THỰC LĨNH</t>
  </si>
  <si>
    <t xml:space="preserve">  </t>
  </si>
  <si>
    <t>CÔNG TY: ……………………………………..</t>
  </si>
  <si>
    <t xml:space="preserve"> BẢNG CHẤM CÔNG</t>
  </si>
  <si>
    <t>Tháng</t>
  </si>
  <si>
    <t>Năm</t>
  </si>
  <si>
    <t>TT</t>
  </si>
  <si>
    <t>NGÀY TRONG THÁNG</t>
  </si>
  <si>
    <t>TÍNH NGÀY CÔNG</t>
  </si>
  <si>
    <t>Đi làm cả ngày</t>
  </si>
  <si>
    <t>Đi Làm
Nửa Ngày</t>
  </si>
  <si>
    <t>Tổng công
Đi Làm</t>
  </si>
  <si>
    <t>Ngày nghỉ hưởng nguyên lương</t>
  </si>
  <si>
    <t>Ngày nghỉ không lương</t>
  </si>
  <si>
    <t>Tổng ngày công</t>
  </si>
  <si>
    <t>X</t>
  </si>
  <si>
    <t>X/2</t>
  </si>
  <si>
    <t>N</t>
  </si>
  <si>
    <t>NL</t>
  </si>
  <si>
    <t>NB</t>
  </si>
  <si>
    <t>X/3</t>
  </si>
  <si>
    <t>X/4</t>
  </si>
  <si>
    <t>X/5</t>
  </si>
  <si>
    <t>Tổng số ngày công</t>
  </si>
  <si>
    <t>Người chấm công</t>
  </si>
  <si>
    <t>Ký hiệu chấm công:</t>
  </si>
  <si>
    <t>- Ngày đi làm</t>
  </si>
  <si>
    <t>- Đi làm nửa ngày</t>
  </si>
  <si>
    <t>- Ngày nghỉ hưởng lương</t>
  </si>
  <si>
    <t>- Ngày nghỉ bù</t>
  </si>
  <si>
    <t>- Ngày nghỉ</t>
  </si>
  <si>
    <t>BẢNG TÍNH LƯƠNG</t>
  </si>
  <si>
    <t>NGƯỜI LAO ĐỘNG ĐÓNG</t>
  </si>
  <si>
    <t>CÔNG TY ĐÓNG</t>
  </si>
  <si>
    <t>BHXH
(18%)</t>
  </si>
  <si>
    <t>BHYT
(3%)</t>
  </si>
  <si>
    <t>Tổng cộng</t>
  </si>
  <si>
    <t>Tổng tiền nộp</t>
  </si>
  <si>
    <t>BẢNG TỔNG HỢP BHXH, BHYT, BHTN</t>
  </si>
  <si>
    <t>MÃ 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</si>
</sst>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00"/>
    <numFmt numFmtId="165" formatCode="&quot;Tháng &quot;mm\ &quot;năm &quot;yyyy"/>
    <numFmt numFmtId="166" formatCode="dd"/>
    <numFmt numFmtId="167" formatCode="0.00;[Red]0.00"/>
    <numFmt numFmtId="168" formatCode="0.0"/>
    <numFmt numFmtId="169" formatCode="#,##0.0"/>
  </numFmts>
  <fonts count="45" x14ac:knownFonts="1">
    <font>
      <sz val="11"/>
      <color theme="1"/>
      <name val="Calibri"/>
      <scheme val="minor"/>
    </font>
    <font>
      <sz val="11"/>
      <color indexed="8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22"/>
      <color rgb="FFFF0000"/>
      <name val="Times New Roman"/>
      <family val="1"/>
    </font>
    <font>
      <sz val="11"/>
      <name val="Times New Roman"/>
      <family val="1"/>
    </font>
    <font>
      <sz val="13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3"/>
      <color rgb="FF000000"/>
      <name val="Times New Roman"/>
      <family val="1"/>
    </font>
    <font>
      <b/>
      <sz val="13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name val="Times New Roman"/>
      <family val="1"/>
    </font>
    <font>
      <b/>
      <sz val="9"/>
      <color indexed="81"/>
      <name val="Tahoma"/>
      <family val="2"/>
    </font>
    <font>
      <b/>
      <sz val="10"/>
      <color rgb="FFFF0000"/>
      <name val="Times New Roman"/>
      <family val="1"/>
    </font>
    <font>
      <b/>
      <sz val="12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Calibri"/>
      <scheme val="minor"/>
    </font>
    <font>
      <b/>
      <sz val="14"/>
      <color theme="1"/>
      <name val="Times New Roman"/>
      <family val="1"/>
    </font>
    <font>
      <b/>
      <sz val="16"/>
      <color rgb="FF000000"/>
      <name val="Times New Roman"/>
      <family val="1"/>
    </font>
    <font>
      <sz val="16"/>
      <color theme="1"/>
      <name val="Times New Roman"/>
      <family val="1"/>
    </font>
    <font>
      <sz val="11"/>
      <color indexed="8"/>
      <name val="Calibri"/>
      <family val="2"/>
    </font>
    <font>
      <b/>
      <sz val="9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20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"/>
      <color rgb="FFC00000"/>
      <name val="Times New Roman"/>
      <family val="1"/>
    </font>
    <font>
      <b/>
      <sz val="12"/>
      <color indexed="8"/>
      <name val="Times New Roman"/>
      <family val="1"/>
    </font>
    <font>
      <sz val="12"/>
      <color theme="1"/>
      <name val="Calibri"/>
      <family val="2"/>
      <scheme val="minor"/>
    </font>
    <font>
      <i/>
      <sz val="12"/>
      <color indexed="8"/>
      <name val="Times New Roman"/>
      <family val="1"/>
    </font>
    <font>
      <b/>
      <sz val="20"/>
      <name val="Times New Roman"/>
      <family val="1"/>
    </font>
    <font>
      <sz val="8"/>
      <name val="Calibri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99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9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6" tint="0.79998168889431442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 applyProtection="0"/>
    <xf numFmtId="41" fontId="30" fillId="0" borderId="0" applyFont="0" applyFill="0" applyBorder="0" applyAlignment="0" applyProtection="0"/>
    <xf numFmtId="0" fontId="34" fillId="0" borderId="0"/>
  </cellStyleXfs>
  <cellXfs count="333">
    <xf numFmtId="0" fontId="0" fillId="0" borderId="0" xfId="0"/>
    <xf numFmtId="164" fontId="3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9" fillId="0" borderId="0" xfId="0" applyFont="1"/>
    <xf numFmtId="0" fontId="11" fillId="0" borderId="0" xfId="0" applyFont="1"/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3" fontId="19" fillId="0" borderId="0" xfId="0" applyNumberFormat="1" applyFont="1" applyAlignment="1">
      <alignment vertical="center"/>
    </xf>
    <xf numFmtId="3" fontId="12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20" fillId="0" borderId="0" xfId="0" applyNumberFormat="1" applyFont="1" applyAlignment="1">
      <alignment vertical="center"/>
    </xf>
    <xf numFmtId="3" fontId="20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left"/>
    </xf>
    <xf numFmtId="0" fontId="3" fillId="0" borderId="2" xfId="1" applyFont="1" applyBorder="1" applyAlignment="1">
      <alignment horizontal="center" vertical="center"/>
    </xf>
    <xf numFmtId="3" fontId="13" fillId="0" borderId="2" xfId="0" applyNumberFormat="1" applyFont="1" applyBorder="1" applyAlignment="1">
      <alignment vertical="center"/>
    </xf>
    <xf numFmtId="3" fontId="13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0" borderId="0" xfId="0" applyFont="1"/>
    <xf numFmtId="3" fontId="15" fillId="5" borderId="2" xfId="0" applyNumberFormat="1" applyFont="1" applyFill="1" applyBorder="1" applyAlignment="1">
      <alignment horizontal="center" vertical="center"/>
    </xf>
    <xf numFmtId="164" fontId="10" fillId="2" borderId="0" xfId="0" applyNumberFormat="1" applyFont="1" applyFill="1" applyAlignment="1">
      <alignment vertical="center"/>
    </xf>
    <xf numFmtId="164" fontId="2" fillId="6" borderId="1" xfId="1" applyNumberFormat="1" applyFont="1" applyFill="1" applyBorder="1" applyAlignment="1">
      <alignment horizontal="center" vertical="center"/>
    </xf>
    <xf numFmtId="164" fontId="15" fillId="7" borderId="2" xfId="0" applyNumberFormat="1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horizontal="left" vertical="center"/>
    </xf>
    <xf numFmtId="0" fontId="2" fillId="6" borderId="2" xfId="1" applyFont="1" applyFill="1" applyBorder="1" applyAlignment="1">
      <alignment horizontal="center" vertical="center"/>
    </xf>
    <xf numFmtId="3" fontId="15" fillId="7" borderId="2" xfId="0" applyNumberFormat="1" applyFont="1" applyFill="1" applyBorder="1" applyAlignment="1">
      <alignment horizontal="center" vertical="center"/>
    </xf>
    <xf numFmtId="0" fontId="3" fillId="6" borderId="2" xfId="1" applyFont="1" applyFill="1" applyBorder="1" applyAlignment="1">
      <alignment horizontal="center" vertical="center"/>
    </xf>
    <xf numFmtId="3" fontId="18" fillId="2" borderId="0" xfId="0" applyNumberFormat="1" applyFont="1" applyFill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3" fontId="13" fillId="5" borderId="2" xfId="0" applyNumberFormat="1" applyFont="1" applyFill="1" applyBorder="1" applyAlignment="1">
      <alignment horizontal="center" vertical="center"/>
    </xf>
    <xf numFmtId="3" fontId="13" fillId="5" borderId="2" xfId="0" applyNumberFormat="1" applyFont="1" applyFill="1" applyBorder="1" applyAlignment="1">
      <alignment vertical="center"/>
    </xf>
    <xf numFmtId="165" fontId="27" fillId="12" borderId="0" xfId="0" applyNumberFormat="1" applyFont="1" applyFill="1" applyAlignment="1">
      <alignment horizontal="center" vertical="center"/>
    </xf>
    <xf numFmtId="3" fontId="13" fillId="0" borderId="11" xfId="0" applyNumberFormat="1" applyFont="1" applyBorder="1" applyAlignment="1">
      <alignment horizontal="center" vertical="center" wrapText="1"/>
    </xf>
    <xf numFmtId="3" fontId="15" fillId="0" borderId="11" xfId="0" applyNumberFormat="1" applyFont="1" applyBorder="1" applyAlignment="1">
      <alignment horizontal="center" vertical="center" wrapText="1"/>
    </xf>
    <xf numFmtId="3" fontId="13" fillId="5" borderId="11" xfId="0" applyNumberFormat="1" applyFont="1" applyFill="1" applyBorder="1" applyAlignment="1">
      <alignment horizontal="center" vertical="center" wrapText="1"/>
    </xf>
    <xf numFmtId="164" fontId="2" fillId="6" borderId="12" xfId="1" applyNumberFormat="1" applyFont="1" applyFill="1" applyBorder="1" applyAlignment="1">
      <alignment horizontal="center" vertical="center"/>
    </xf>
    <xf numFmtId="164" fontId="15" fillId="7" borderId="13" xfId="0" applyNumberFormat="1" applyFont="1" applyFill="1" applyBorder="1" applyAlignment="1">
      <alignment horizontal="center" vertical="center"/>
    </xf>
    <xf numFmtId="0" fontId="15" fillId="7" borderId="13" xfId="0" applyFont="1" applyFill="1" applyBorder="1" applyAlignment="1">
      <alignment horizontal="left" vertical="center"/>
    </xf>
    <xf numFmtId="0" fontId="2" fillId="6" borderId="13" xfId="1" applyFont="1" applyFill="1" applyBorder="1" applyAlignment="1">
      <alignment horizontal="center" vertical="center"/>
    </xf>
    <xf numFmtId="3" fontId="15" fillId="7" borderId="13" xfId="0" applyNumberFormat="1" applyFont="1" applyFill="1" applyBorder="1" applyAlignment="1">
      <alignment horizontal="center" vertical="center"/>
    </xf>
    <xf numFmtId="3" fontId="15" fillId="7" borderId="13" xfId="0" applyNumberFormat="1" applyFont="1" applyFill="1" applyBorder="1" applyAlignment="1">
      <alignment vertical="center"/>
    </xf>
    <xf numFmtId="164" fontId="13" fillId="10" borderId="14" xfId="0" applyNumberFormat="1" applyFont="1" applyFill="1" applyBorder="1" applyAlignment="1">
      <alignment horizontal="center" vertical="center"/>
    </xf>
    <xf numFmtId="164" fontId="13" fillId="10" borderId="15" xfId="0" applyNumberFormat="1" applyFont="1" applyFill="1" applyBorder="1" applyAlignment="1">
      <alignment horizontal="center" vertical="center"/>
    </xf>
    <xf numFmtId="164" fontId="15" fillId="10" borderId="15" xfId="0" applyNumberFormat="1" applyFont="1" applyFill="1" applyBorder="1" applyAlignment="1">
      <alignment horizontal="center" vertical="center"/>
    </xf>
    <xf numFmtId="164" fontId="13" fillId="10" borderId="17" xfId="0" applyNumberFormat="1" applyFont="1" applyFill="1" applyBorder="1" applyAlignment="1">
      <alignment horizontal="center" vertical="center"/>
    </xf>
    <xf numFmtId="3" fontId="23" fillId="7" borderId="18" xfId="0" applyNumberFormat="1" applyFont="1" applyFill="1" applyBorder="1" applyAlignment="1">
      <alignment horizontal="center" vertical="center"/>
    </xf>
    <xf numFmtId="3" fontId="13" fillId="0" borderId="19" xfId="0" applyNumberFormat="1" applyFont="1" applyBorder="1" applyAlignment="1">
      <alignment horizontal="center" vertical="center"/>
    </xf>
    <xf numFmtId="3" fontId="15" fillId="7" borderId="19" xfId="0" applyNumberFormat="1" applyFont="1" applyFill="1" applyBorder="1" applyAlignment="1">
      <alignment horizontal="center" vertical="center"/>
    </xf>
    <xf numFmtId="3" fontId="13" fillId="0" borderId="20" xfId="0" applyNumberFormat="1" applyFont="1" applyBorder="1" applyAlignment="1">
      <alignment horizontal="center" vertical="center" wrapText="1"/>
    </xf>
    <xf numFmtId="164" fontId="13" fillId="10" borderId="21" xfId="0" applyNumberFormat="1" applyFont="1" applyFill="1" applyBorder="1" applyAlignment="1">
      <alignment horizontal="center" vertical="center"/>
    </xf>
    <xf numFmtId="3" fontId="15" fillId="7" borderId="22" xfId="0" applyNumberFormat="1" applyFont="1" applyFill="1" applyBorder="1" applyAlignment="1">
      <alignment vertical="center"/>
    </xf>
    <xf numFmtId="3" fontId="13" fillId="0" borderId="23" xfId="0" applyNumberFormat="1" applyFont="1" applyBorder="1" applyAlignment="1">
      <alignment vertical="center"/>
    </xf>
    <xf numFmtId="3" fontId="15" fillId="7" borderId="23" xfId="0" applyNumberFormat="1" applyFont="1" applyFill="1" applyBorder="1" applyAlignment="1">
      <alignment horizontal="center" vertical="center"/>
    </xf>
    <xf numFmtId="164" fontId="15" fillId="10" borderId="9" xfId="0" applyNumberFormat="1" applyFont="1" applyFill="1" applyBorder="1" applyAlignment="1">
      <alignment horizontal="center" vertical="center"/>
    </xf>
    <xf numFmtId="3" fontId="15" fillId="7" borderId="26" xfId="0" applyNumberFormat="1" applyFont="1" applyFill="1" applyBorder="1" applyAlignment="1">
      <alignment horizontal="center" vertical="center"/>
    </xf>
    <xf numFmtId="3" fontId="13" fillId="8" borderId="27" xfId="0" applyNumberFormat="1" applyFont="1" applyFill="1" applyBorder="1" applyAlignment="1">
      <alignment horizontal="center" vertical="center"/>
    </xf>
    <xf numFmtId="3" fontId="15" fillId="7" borderId="27" xfId="0" applyNumberFormat="1" applyFont="1" applyFill="1" applyBorder="1" applyAlignment="1">
      <alignment horizontal="center" vertical="center"/>
    </xf>
    <xf numFmtId="3" fontId="13" fillId="0" borderId="16" xfId="0" applyNumberFormat="1" applyFont="1" applyBorder="1" applyAlignment="1">
      <alignment horizontal="center" vertical="center" wrapText="1"/>
    </xf>
    <xf numFmtId="3" fontId="15" fillId="7" borderId="18" xfId="0" applyNumberFormat="1" applyFont="1" applyFill="1" applyBorder="1" applyAlignment="1">
      <alignment horizontal="center" vertical="center"/>
    </xf>
    <xf numFmtId="3" fontId="17" fillId="2" borderId="19" xfId="0" applyNumberFormat="1" applyFont="1" applyFill="1" applyBorder="1" applyAlignment="1">
      <alignment horizontal="center" vertical="center"/>
    </xf>
    <xf numFmtId="3" fontId="15" fillId="7" borderId="22" xfId="0" applyNumberFormat="1" applyFont="1" applyFill="1" applyBorder="1" applyAlignment="1">
      <alignment horizontal="center" vertical="center"/>
    </xf>
    <xf numFmtId="3" fontId="17" fillId="9" borderId="27" xfId="0" applyNumberFormat="1" applyFont="1" applyFill="1" applyBorder="1" applyAlignment="1">
      <alignment horizontal="center" vertical="center"/>
    </xf>
    <xf numFmtId="164" fontId="15" fillId="10" borderId="17" xfId="0" applyNumberFormat="1" applyFont="1" applyFill="1" applyBorder="1" applyAlignment="1">
      <alignment horizontal="center" vertical="center"/>
    </xf>
    <xf numFmtId="3" fontId="13" fillId="3" borderId="27" xfId="0" applyNumberFormat="1" applyFont="1" applyFill="1" applyBorder="1" applyAlignment="1">
      <alignment horizontal="center" vertical="center"/>
    </xf>
    <xf numFmtId="164" fontId="3" fillId="0" borderId="10" xfId="1" applyNumberFormat="1" applyFont="1" applyBorder="1" applyAlignment="1">
      <alignment horizontal="center" vertical="center"/>
    </xf>
    <xf numFmtId="164" fontId="13" fillId="0" borderId="11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left"/>
    </xf>
    <xf numFmtId="0" fontId="3" fillId="0" borderId="11" xfId="1" applyFont="1" applyBorder="1" applyAlignment="1">
      <alignment horizontal="center" vertical="center"/>
    </xf>
    <xf numFmtId="3" fontId="13" fillId="0" borderId="11" xfId="0" applyNumberFormat="1" applyFont="1" applyBorder="1" applyAlignment="1">
      <alignment horizontal="center" vertical="center"/>
    </xf>
    <xf numFmtId="3" fontId="13" fillId="0" borderId="16" xfId="0" applyNumberFormat="1" applyFont="1" applyBorder="1" applyAlignment="1">
      <alignment horizontal="center" vertical="center"/>
    </xf>
    <xf numFmtId="3" fontId="13" fillId="8" borderId="25" xfId="0" applyNumberFormat="1" applyFont="1" applyFill="1" applyBorder="1" applyAlignment="1">
      <alignment horizontal="center" vertical="center"/>
    </xf>
    <xf numFmtId="3" fontId="13" fillId="0" borderId="20" xfId="0" applyNumberFormat="1" applyFont="1" applyBorder="1" applyAlignment="1">
      <alignment vertical="center"/>
    </xf>
    <xf numFmtId="3" fontId="13" fillId="0" borderId="11" xfId="0" applyNumberFormat="1" applyFont="1" applyBorder="1" applyAlignment="1">
      <alignment vertical="center"/>
    </xf>
    <xf numFmtId="3" fontId="17" fillId="2" borderId="16" xfId="0" applyNumberFormat="1" applyFont="1" applyFill="1" applyBorder="1" applyAlignment="1">
      <alignment horizontal="center" vertical="center"/>
    </xf>
    <xf numFmtId="3" fontId="17" fillId="9" borderId="25" xfId="0" applyNumberFormat="1" applyFont="1" applyFill="1" applyBorder="1" applyAlignment="1">
      <alignment horizontal="center" vertical="center"/>
    </xf>
    <xf numFmtId="3" fontId="15" fillId="5" borderId="11" xfId="0" applyNumberFormat="1" applyFont="1" applyFill="1" applyBorder="1" applyAlignment="1">
      <alignment horizontal="center" vertical="center"/>
    </xf>
    <xf numFmtId="3" fontId="13" fillId="5" borderId="11" xfId="0" applyNumberFormat="1" applyFont="1" applyFill="1" applyBorder="1" applyAlignment="1">
      <alignment vertical="center"/>
    </xf>
    <xf numFmtId="3" fontId="13" fillId="5" borderId="11" xfId="0" applyNumberFormat="1" applyFont="1" applyFill="1" applyBorder="1" applyAlignment="1">
      <alignment horizontal="center" vertical="center"/>
    </xf>
    <xf numFmtId="3" fontId="13" fillId="3" borderId="25" xfId="0" applyNumberFormat="1" applyFont="1" applyFill="1" applyBorder="1" applyAlignment="1">
      <alignment horizontal="center" vertical="center"/>
    </xf>
    <xf numFmtId="164" fontId="15" fillId="4" borderId="28" xfId="0" applyNumberFormat="1" applyFont="1" applyFill="1" applyBorder="1" applyAlignment="1">
      <alignment horizontal="center" vertical="center"/>
    </xf>
    <xf numFmtId="164" fontId="15" fillId="4" borderId="29" xfId="0" applyNumberFormat="1" applyFont="1" applyFill="1" applyBorder="1" applyAlignment="1">
      <alignment horizontal="center" vertical="center"/>
    </xf>
    <xf numFmtId="0" fontId="15" fillId="4" borderId="29" xfId="0" applyFont="1" applyFill="1" applyBorder="1" applyAlignment="1">
      <alignment horizontal="left" vertical="center"/>
    </xf>
    <xf numFmtId="0" fontId="15" fillId="4" borderId="29" xfId="0" applyFont="1" applyFill="1" applyBorder="1" applyAlignment="1">
      <alignment horizontal="center" vertical="center"/>
    </xf>
    <xf numFmtId="3" fontId="15" fillId="4" borderId="29" xfId="0" applyNumberFormat="1" applyFont="1" applyFill="1" applyBorder="1" applyAlignment="1">
      <alignment horizontal="center" vertical="center"/>
    </xf>
    <xf numFmtId="3" fontId="15" fillId="4" borderId="30" xfId="0" applyNumberFormat="1" applyFont="1" applyFill="1" applyBorder="1" applyAlignment="1">
      <alignment horizontal="center" vertical="center"/>
    </xf>
    <xf numFmtId="3" fontId="15" fillId="4" borderId="8" xfId="0" applyNumberFormat="1" applyFont="1" applyFill="1" applyBorder="1" applyAlignment="1">
      <alignment horizontal="center" vertical="center"/>
    </xf>
    <xf numFmtId="3" fontId="15" fillId="4" borderId="31" xfId="0" applyNumberFormat="1" applyFont="1" applyFill="1" applyBorder="1" applyAlignment="1">
      <alignment vertical="center"/>
    </xf>
    <xf numFmtId="3" fontId="15" fillId="4" borderId="29" xfId="0" applyNumberFormat="1" applyFont="1" applyFill="1" applyBorder="1" applyAlignment="1">
      <alignment vertical="center"/>
    </xf>
    <xf numFmtId="3" fontId="15" fillId="0" borderId="16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8" fillId="0" borderId="0" xfId="1" applyFont="1" applyAlignment="1">
      <alignment vertical="center"/>
    </xf>
    <xf numFmtId="16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164" fontId="7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29" fillId="0" borderId="2" xfId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/>
    <xf numFmtId="0" fontId="7" fillId="0" borderId="2" xfId="0" applyFont="1" applyBorder="1"/>
    <xf numFmtId="164" fontId="21" fillId="0" borderId="1" xfId="0" applyNumberFormat="1" applyFont="1" applyBorder="1" applyAlignment="1">
      <alignment horizontal="center" vertical="center"/>
    </xf>
    <xf numFmtId="164" fontId="24" fillId="5" borderId="1" xfId="0" applyNumberFormat="1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164" fontId="21" fillId="5" borderId="12" xfId="0" applyNumberFormat="1" applyFont="1" applyFill="1" applyBorder="1" applyAlignment="1">
      <alignment horizontal="center" vertical="center"/>
    </xf>
    <xf numFmtId="0" fontId="24" fillId="13" borderId="37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33" fillId="0" borderId="0" xfId="0" applyFont="1"/>
    <xf numFmtId="0" fontId="3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0" fontId="28" fillId="0" borderId="0" xfId="3" applyFont="1"/>
    <xf numFmtId="0" fontId="35" fillId="0" borderId="0" xfId="1" applyFont="1" applyAlignment="1">
      <alignment vertical="center"/>
    </xf>
    <xf numFmtId="0" fontId="28" fillId="0" borderId="0" xfId="1" applyFont="1"/>
    <xf numFmtId="0" fontId="36" fillId="0" borderId="0" xfId="1" applyFont="1"/>
    <xf numFmtId="0" fontId="3" fillId="0" borderId="0" xfId="1" applyFont="1"/>
    <xf numFmtId="0" fontId="3" fillId="0" borderId="0" xfId="1" applyFont="1" applyAlignment="1">
      <alignment horizontal="center" vertical="center"/>
    </xf>
    <xf numFmtId="0" fontId="28" fillId="0" borderId="0" xfId="3" applyFont="1" applyAlignment="1">
      <alignment horizontal="center" vertical="center"/>
    </xf>
    <xf numFmtId="0" fontId="29" fillId="0" borderId="0" xfId="1" applyFont="1" applyAlignment="1">
      <alignment horizontal="centerContinuous" vertical="center"/>
    </xf>
    <xf numFmtId="0" fontId="29" fillId="0" borderId="0" xfId="3" applyFont="1" applyAlignment="1">
      <alignment horizontal="centerContinuous" vertical="center"/>
    </xf>
    <xf numFmtId="14" fontId="3" fillId="0" borderId="0" xfId="1" applyNumberFormat="1" applyFont="1" applyAlignment="1">
      <alignment horizontal="center" vertical="center"/>
    </xf>
    <xf numFmtId="14" fontId="3" fillId="0" borderId="0" xfId="1" applyNumberFormat="1" applyFont="1"/>
    <xf numFmtId="0" fontId="28" fillId="0" borderId="0" xfId="1" applyFont="1" applyAlignment="1">
      <alignment horizontal="center" vertical="center"/>
    </xf>
    <xf numFmtId="0" fontId="28" fillId="0" borderId="0" xfId="3" applyFont="1" applyAlignment="1">
      <alignment vertical="center"/>
    </xf>
    <xf numFmtId="0" fontId="2" fillId="6" borderId="23" xfId="1" applyFont="1" applyFill="1" applyBorder="1" applyAlignment="1">
      <alignment horizontal="center" vertical="center"/>
    </xf>
    <xf numFmtId="166" fontId="2" fillId="6" borderId="51" xfId="1" applyNumberFormat="1" applyFont="1" applyFill="1" applyBorder="1" applyAlignment="1">
      <alignment horizontal="center" vertical="center"/>
    </xf>
    <xf numFmtId="166" fontId="2" fillId="6" borderId="49" xfId="1" applyNumberFormat="1" applyFont="1" applyFill="1" applyBorder="1" applyAlignment="1">
      <alignment horizontal="center" vertical="center"/>
    </xf>
    <xf numFmtId="164" fontId="2" fillId="15" borderId="12" xfId="1" applyNumberFormat="1" applyFont="1" applyFill="1" applyBorder="1" applyAlignment="1">
      <alignment horizontal="center" vertical="center"/>
    </xf>
    <xf numFmtId="0" fontId="2" fillId="15" borderId="13" xfId="1" applyFont="1" applyFill="1" applyBorder="1" applyAlignment="1">
      <alignment horizontal="center" vertical="center"/>
    </xf>
    <xf numFmtId="0" fontId="2" fillId="15" borderId="13" xfId="1" applyFont="1" applyFill="1" applyBorder="1" applyAlignment="1">
      <alignment horizontal="left" vertical="center"/>
    </xf>
    <xf numFmtId="0" fontId="2" fillId="15" borderId="54" xfId="1" applyFont="1" applyFill="1" applyBorder="1" applyAlignment="1">
      <alignment horizontal="center" vertical="center"/>
    </xf>
    <xf numFmtId="0" fontId="2" fillId="15" borderId="22" xfId="1" applyFont="1" applyFill="1" applyBorder="1" applyAlignment="1">
      <alignment horizontal="center" vertical="center"/>
    </xf>
    <xf numFmtId="167" fontId="2" fillId="15" borderId="13" xfId="1" applyNumberFormat="1" applyFont="1" applyFill="1" applyBorder="1" applyAlignment="1">
      <alignment horizontal="center" vertical="center"/>
    </xf>
    <xf numFmtId="1" fontId="2" fillId="15" borderId="13" xfId="1" applyNumberFormat="1" applyFont="1" applyFill="1" applyBorder="1" applyAlignment="1">
      <alignment horizontal="center" vertical="center"/>
    </xf>
    <xf numFmtId="168" fontId="2" fillId="15" borderId="13" xfId="1" applyNumberFormat="1" applyFont="1" applyFill="1" applyBorder="1" applyAlignment="1">
      <alignment horizontal="center" vertical="center"/>
    </xf>
    <xf numFmtId="1" fontId="2" fillId="15" borderId="18" xfId="1" applyNumberFormat="1" applyFont="1" applyFill="1" applyBorder="1" applyAlignment="1">
      <alignment horizontal="center" vertical="center"/>
    </xf>
    <xf numFmtId="168" fontId="2" fillId="15" borderId="36" xfId="1" applyNumberFormat="1" applyFont="1" applyFill="1" applyBorder="1" applyAlignment="1">
      <alignment horizontal="center" vertical="center"/>
    </xf>
    <xf numFmtId="0" fontId="38" fillId="0" borderId="0" xfId="3" applyFont="1"/>
    <xf numFmtId="164" fontId="3" fillId="0" borderId="12" xfId="1" applyNumberFormat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3" xfId="1" applyFont="1" applyBorder="1" applyAlignment="1">
      <alignment horizontal="left" vertical="center"/>
    </xf>
    <xf numFmtId="0" fontId="3" fillId="0" borderId="54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167" fontId="3" fillId="0" borderId="2" xfId="1" applyNumberFormat="1" applyFont="1" applyBorder="1" applyAlignment="1">
      <alignment horizontal="center" vertical="center"/>
    </xf>
    <xf numFmtId="1" fontId="3" fillId="0" borderId="13" xfId="1" applyNumberFormat="1" applyFont="1" applyBorder="1" applyAlignment="1">
      <alignment horizontal="center" vertical="center"/>
    </xf>
    <xf numFmtId="168" fontId="3" fillId="0" borderId="13" xfId="1" applyNumberFormat="1" applyFont="1" applyBorder="1" applyAlignment="1">
      <alignment horizontal="center" vertical="center"/>
    </xf>
    <xf numFmtId="1" fontId="3" fillId="0" borderId="18" xfId="1" applyNumberFormat="1" applyFont="1" applyBorder="1" applyAlignment="1">
      <alignment horizontal="center" vertical="center"/>
    </xf>
    <xf numFmtId="168" fontId="3" fillId="3" borderId="36" xfId="1" applyNumberFormat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47" xfId="1" applyFont="1" applyBorder="1" applyAlignment="1">
      <alignment horizontal="center" vertical="center"/>
    </xf>
    <xf numFmtId="1" fontId="3" fillId="0" borderId="2" xfId="1" applyNumberFormat="1" applyFont="1" applyBorder="1" applyAlignment="1">
      <alignment horizontal="center" vertical="center"/>
    </xf>
    <xf numFmtId="168" fontId="3" fillId="0" borderId="2" xfId="1" applyNumberFormat="1" applyFont="1" applyBorder="1" applyAlignment="1">
      <alignment horizontal="center" vertical="center"/>
    </xf>
    <xf numFmtId="164" fontId="2" fillId="15" borderId="1" xfId="1" applyNumberFormat="1" applyFont="1" applyFill="1" applyBorder="1" applyAlignment="1">
      <alignment horizontal="center" vertical="center"/>
    </xf>
    <xf numFmtId="0" fontId="2" fillId="15" borderId="2" xfId="1" applyFont="1" applyFill="1" applyBorder="1" applyAlignment="1">
      <alignment horizontal="center" vertical="center"/>
    </xf>
    <xf numFmtId="0" fontId="2" fillId="15" borderId="2" xfId="1" applyFont="1" applyFill="1" applyBorder="1" applyAlignment="1">
      <alignment horizontal="left" vertical="center"/>
    </xf>
    <xf numFmtId="0" fontId="2" fillId="15" borderId="47" xfId="1" applyFont="1" applyFill="1" applyBorder="1" applyAlignment="1">
      <alignment horizontal="center" vertical="center"/>
    </xf>
    <xf numFmtId="0" fontId="2" fillId="15" borderId="23" xfId="1" applyFont="1" applyFill="1" applyBorder="1" applyAlignment="1">
      <alignment horizontal="center" vertical="center"/>
    </xf>
    <xf numFmtId="167" fontId="2" fillId="15" borderId="2" xfId="1" applyNumberFormat="1" applyFont="1" applyFill="1" applyBorder="1" applyAlignment="1">
      <alignment horizontal="center" vertical="center"/>
    </xf>
    <xf numFmtId="1" fontId="2" fillId="15" borderId="2" xfId="1" applyNumberFormat="1" applyFont="1" applyFill="1" applyBorder="1" applyAlignment="1">
      <alignment horizontal="center" vertical="center"/>
    </xf>
    <xf numFmtId="168" fontId="2" fillId="15" borderId="2" xfId="1" applyNumberFormat="1" applyFont="1" applyFill="1" applyBorder="1" applyAlignment="1">
      <alignment horizontal="center" vertical="center"/>
    </xf>
    <xf numFmtId="1" fontId="2" fillId="15" borderId="19" xfId="1" applyNumberFormat="1" applyFont="1" applyFill="1" applyBorder="1" applyAlignment="1">
      <alignment horizontal="center" vertical="center"/>
    </xf>
    <xf numFmtId="168" fontId="2" fillId="15" borderId="33" xfId="1" applyNumberFormat="1" applyFont="1" applyFill="1" applyBorder="1" applyAlignment="1">
      <alignment horizontal="center" vertical="center"/>
    </xf>
    <xf numFmtId="168" fontId="3" fillId="3" borderId="33" xfId="1" applyNumberFormat="1" applyFont="1" applyFill="1" applyBorder="1" applyAlignment="1">
      <alignment horizontal="center" vertical="center"/>
    </xf>
    <xf numFmtId="0" fontId="3" fillId="15" borderId="2" xfId="1" applyFont="1" applyFill="1" applyBorder="1" applyAlignment="1">
      <alignment horizontal="center" vertical="center"/>
    </xf>
    <xf numFmtId="0" fontId="3" fillId="15" borderId="47" xfId="1" applyFont="1" applyFill="1" applyBorder="1" applyAlignment="1">
      <alignment horizontal="center" vertical="center"/>
    </xf>
    <xf numFmtId="0" fontId="3" fillId="15" borderId="23" xfId="1" applyFont="1" applyFill="1" applyBorder="1" applyAlignment="1">
      <alignment horizontal="center" vertical="center"/>
    </xf>
    <xf numFmtId="167" fontId="3" fillId="15" borderId="2" xfId="1" applyNumberFormat="1" applyFont="1" applyFill="1" applyBorder="1" applyAlignment="1">
      <alignment horizontal="center" vertical="center"/>
    </xf>
    <xf numFmtId="0" fontId="3" fillId="3" borderId="55" xfId="1" applyFont="1" applyFill="1" applyBorder="1" applyAlignment="1">
      <alignment horizontal="center" vertical="center"/>
    </xf>
    <xf numFmtId="0" fontId="3" fillId="3" borderId="56" xfId="1" applyFont="1" applyFill="1" applyBorder="1" applyAlignment="1">
      <alignment horizontal="center" vertical="center"/>
    </xf>
    <xf numFmtId="0" fontId="2" fillId="3" borderId="56" xfId="1" applyFont="1" applyFill="1" applyBorder="1" applyAlignment="1">
      <alignment horizontal="center" vertical="center"/>
    </xf>
    <xf numFmtId="0" fontId="3" fillId="3" borderId="57" xfId="1" applyFont="1" applyFill="1" applyBorder="1" applyAlignment="1">
      <alignment horizontal="center" vertical="center"/>
    </xf>
    <xf numFmtId="1" fontId="2" fillId="3" borderId="56" xfId="1" applyNumberFormat="1" applyFont="1" applyFill="1" applyBorder="1" applyAlignment="1">
      <alignment horizontal="center" vertical="center"/>
    </xf>
    <xf numFmtId="168" fontId="39" fillId="3" borderId="56" xfId="1" applyNumberFormat="1" applyFont="1" applyFill="1" applyBorder="1" applyAlignment="1">
      <alignment horizontal="center" vertical="center"/>
    </xf>
    <xf numFmtId="1" fontId="2" fillId="3" borderId="59" xfId="1" applyNumberFormat="1" applyFont="1" applyFill="1" applyBorder="1" applyAlignment="1">
      <alignment horizontal="center" vertical="center"/>
    </xf>
    <xf numFmtId="168" fontId="39" fillId="3" borderId="60" xfId="1" applyNumberFormat="1" applyFont="1" applyFill="1" applyBorder="1" applyAlignment="1">
      <alignment horizontal="center" vertical="center"/>
    </xf>
    <xf numFmtId="0" fontId="29" fillId="0" borderId="0" xfId="1" applyFont="1"/>
    <xf numFmtId="0" fontId="29" fillId="0" borderId="0" xfId="1" applyFont="1" applyAlignment="1">
      <alignment horizontal="center" vertical="center"/>
    </xf>
    <xf numFmtId="0" fontId="29" fillId="0" borderId="0" xfId="1" applyFont="1" applyAlignment="1">
      <alignment vertical="center"/>
    </xf>
    <xf numFmtId="0" fontId="29" fillId="0" borderId="0" xfId="3" applyFont="1"/>
    <xf numFmtId="0" fontId="2" fillId="0" borderId="0" xfId="1" applyFont="1" applyAlignment="1">
      <alignment horizontal="center" vertical="center"/>
    </xf>
    <xf numFmtId="0" fontId="3" fillId="0" borderId="0" xfId="1" quotePrefix="1" applyFont="1"/>
    <xf numFmtId="0" fontId="3" fillId="0" borderId="0" xfId="1" quotePrefix="1" applyFont="1" applyAlignment="1">
      <alignment horizontal="center" vertical="center"/>
    </xf>
    <xf numFmtId="0" fontId="28" fillId="0" borderId="0" xfId="3" applyFont="1" applyAlignment="1">
      <alignment horizontal="center"/>
    </xf>
    <xf numFmtId="16" fontId="3" fillId="0" borderId="0" xfId="1" applyNumberFormat="1" applyFont="1" applyAlignment="1">
      <alignment horizontal="center" vertical="center"/>
    </xf>
    <xf numFmtId="169" fontId="13" fillId="0" borderId="19" xfId="0" applyNumberFormat="1" applyFont="1" applyBorder="1" applyAlignment="1">
      <alignment horizontal="center" vertical="center"/>
    </xf>
    <xf numFmtId="169" fontId="13" fillId="0" borderId="16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 wrapText="1"/>
    </xf>
    <xf numFmtId="3" fontId="15" fillId="7" borderId="12" xfId="0" applyNumberFormat="1" applyFont="1" applyFill="1" applyBorder="1" applyAlignment="1">
      <alignment vertical="center"/>
    </xf>
    <xf numFmtId="3" fontId="15" fillId="7" borderId="36" xfId="0" applyNumberFormat="1" applyFont="1" applyFill="1" applyBorder="1" applyAlignment="1">
      <alignment horizontal="center" vertical="center"/>
    </xf>
    <xf numFmtId="3" fontId="13" fillId="0" borderId="1" xfId="0" applyNumberFormat="1" applyFont="1" applyBorder="1" applyAlignment="1">
      <alignment vertical="center"/>
    </xf>
    <xf numFmtId="3" fontId="17" fillId="2" borderId="33" xfId="0" applyNumberFormat="1" applyFont="1" applyFill="1" applyBorder="1" applyAlignment="1">
      <alignment horizontal="center" vertical="center"/>
    </xf>
    <xf numFmtId="3" fontId="15" fillId="7" borderId="1" xfId="0" applyNumberFormat="1" applyFont="1" applyFill="1" applyBorder="1" applyAlignment="1">
      <alignment horizontal="center" vertical="center"/>
    </xf>
    <xf numFmtId="3" fontId="15" fillId="7" borderId="33" xfId="0" applyNumberFormat="1" applyFont="1" applyFill="1" applyBorder="1" applyAlignment="1">
      <alignment horizontal="center" vertical="center"/>
    </xf>
    <xf numFmtId="3" fontId="13" fillId="0" borderId="10" xfId="0" applyNumberFormat="1" applyFont="1" applyBorder="1" applyAlignment="1">
      <alignment vertical="center"/>
    </xf>
    <xf numFmtId="3" fontId="17" fillId="2" borderId="40" xfId="0" applyNumberFormat="1" applyFont="1" applyFill="1" applyBorder="1" applyAlignment="1">
      <alignment horizontal="center" vertical="center"/>
    </xf>
    <xf numFmtId="3" fontId="15" fillId="4" borderId="28" xfId="0" applyNumberFormat="1" applyFont="1" applyFill="1" applyBorder="1" applyAlignment="1">
      <alignment vertical="center"/>
    </xf>
    <xf numFmtId="3" fontId="15" fillId="4" borderId="43" xfId="0" applyNumberFormat="1" applyFont="1" applyFill="1" applyBorder="1" applyAlignment="1">
      <alignment horizontal="center" vertical="center"/>
    </xf>
    <xf numFmtId="3" fontId="15" fillId="0" borderId="40" xfId="0" applyNumberFormat="1" applyFont="1" applyBorder="1" applyAlignment="1">
      <alignment horizontal="center" vertical="center" wrapText="1"/>
    </xf>
    <xf numFmtId="164" fontId="15" fillId="10" borderId="6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left" vertical="center"/>
    </xf>
    <xf numFmtId="0" fontId="43" fillId="11" borderId="0" xfId="0" applyFont="1" applyFill="1" applyAlignment="1">
      <alignment horizontal="center" vertical="center"/>
    </xf>
    <xf numFmtId="165" fontId="31" fillId="12" borderId="0" xfId="0" applyNumberFormat="1" applyFont="1" applyFill="1" applyAlignment="1">
      <alignment horizontal="center" vertical="center"/>
    </xf>
    <xf numFmtId="0" fontId="32" fillId="14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24" fillId="13" borderId="38" xfId="0" applyFont="1" applyFill="1" applyBorder="1" applyAlignment="1">
      <alignment horizontal="center" vertical="center"/>
    </xf>
    <xf numFmtId="0" fontId="24" fillId="13" borderId="39" xfId="0" applyFont="1" applyFill="1" applyBorder="1" applyAlignment="1">
      <alignment horizontal="center" vertical="center"/>
    </xf>
    <xf numFmtId="41" fontId="21" fillId="5" borderId="13" xfId="2" applyFont="1" applyFill="1" applyBorder="1" applyAlignment="1">
      <alignment horizontal="center" vertical="center"/>
    </xf>
    <xf numFmtId="41" fontId="21" fillId="5" borderId="36" xfId="2" applyFont="1" applyFill="1" applyBorder="1" applyAlignment="1">
      <alignment horizontal="center" vertical="center"/>
    </xf>
    <xf numFmtId="41" fontId="24" fillId="5" borderId="2" xfId="2" applyFont="1" applyFill="1" applyBorder="1" applyAlignment="1">
      <alignment horizontal="center" vertical="center"/>
    </xf>
    <xf numFmtId="41" fontId="24" fillId="5" borderId="33" xfId="2" applyFont="1" applyFill="1" applyBorder="1" applyAlignment="1">
      <alignment horizontal="center" vertical="center"/>
    </xf>
    <xf numFmtId="41" fontId="21" fillId="5" borderId="2" xfId="2" applyFont="1" applyFill="1" applyBorder="1" applyAlignment="1">
      <alignment horizontal="center" vertical="center"/>
    </xf>
    <xf numFmtId="41" fontId="21" fillId="5" borderId="33" xfId="2" applyFont="1" applyFill="1" applyBorder="1" applyAlignment="1">
      <alignment horizontal="center" vertical="center"/>
    </xf>
    <xf numFmtId="41" fontId="21" fillId="0" borderId="2" xfId="2" applyFont="1" applyBorder="1" applyAlignment="1">
      <alignment horizontal="right" vertical="center"/>
    </xf>
    <xf numFmtId="41" fontId="21" fillId="0" borderId="33" xfId="2" applyFont="1" applyBorder="1" applyAlignment="1">
      <alignment horizontal="right" vertical="center"/>
    </xf>
    <xf numFmtId="41" fontId="21" fillId="5" borderId="19" xfId="2" applyFont="1" applyFill="1" applyBorder="1" applyAlignment="1">
      <alignment horizontal="center" vertical="center"/>
    </xf>
    <xf numFmtId="41" fontId="21" fillId="5" borderId="32" xfId="2" applyFont="1" applyFill="1" applyBorder="1" applyAlignment="1">
      <alignment horizontal="center" vertical="center"/>
    </xf>
    <xf numFmtId="41" fontId="21" fillId="5" borderId="35" xfId="2" applyFont="1" applyFill="1" applyBorder="1" applyAlignment="1">
      <alignment horizontal="center" vertical="center"/>
    </xf>
    <xf numFmtId="41" fontId="24" fillId="5" borderId="19" xfId="2" applyFont="1" applyFill="1" applyBorder="1" applyAlignment="1">
      <alignment horizontal="center" vertical="center"/>
    </xf>
    <xf numFmtId="41" fontId="24" fillId="5" borderId="32" xfId="2" applyFont="1" applyFill="1" applyBorder="1" applyAlignment="1">
      <alignment horizontal="center" vertical="center"/>
    </xf>
    <xf numFmtId="41" fontId="24" fillId="5" borderId="35" xfId="2" applyFont="1" applyFill="1" applyBorder="1" applyAlignment="1">
      <alignment horizontal="center" vertical="center"/>
    </xf>
    <xf numFmtId="41" fontId="24" fillId="0" borderId="2" xfId="2" applyFont="1" applyBorder="1" applyAlignment="1">
      <alignment horizontal="right" vertical="center"/>
    </xf>
    <xf numFmtId="41" fontId="24" fillId="0" borderId="33" xfId="2" applyFont="1" applyBorder="1" applyAlignment="1">
      <alignment horizontal="right" vertical="center"/>
    </xf>
    <xf numFmtId="0" fontId="21" fillId="5" borderId="13" xfId="0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4" fillId="5" borderId="2" xfId="0" applyFont="1" applyFill="1" applyBorder="1" applyAlignment="1">
      <alignment horizontal="left" vertical="center" wrapText="1"/>
    </xf>
    <xf numFmtId="0" fontId="24" fillId="6" borderId="34" xfId="0" applyFont="1" applyFill="1" applyBorder="1" applyAlignment="1">
      <alignment horizontal="center" vertical="center"/>
    </xf>
    <xf numFmtId="0" fontId="24" fillId="6" borderId="32" xfId="0" applyFont="1" applyFill="1" applyBorder="1" applyAlignment="1">
      <alignment horizontal="center" vertical="center"/>
    </xf>
    <xf numFmtId="0" fontId="24" fillId="6" borderId="35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left" vertical="center" wrapText="1"/>
    </xf>
    <xf numFmtId="41" fontId="24" fillId="3" borderId="29" xfId="2" applyFont="1" applyFill="1" applyBorder="1" applyAlignment="1">
      <alignment horizontal="right" vertical="center"/>
    </xf>
    <xf numFmtId="41" fontId="24" fillId="3" borderId="43" xfId="2" applyFont="1" applyFill="1" applyBorder="1" applyAlignment="1">
      <alignment horizontal="right" vertical="center"/>
    </xf>
    <xf numFmtId="0" fontId="24" fillId="3" borderId="41" xfId="0" applyFont="1" applyFill="1" applyBorder="1" applyAlignment="1">
      <alignment horizontal="center" vertical="center" wrapText="1"/>
    </xf>
    <xf numFmtId="0" fontId="24" fillId="3" borderId="42" xfId="0" applyFont="1" applyFill="1" applyBorder="1" applyAlignment="1">
      <alignment horizontal="center" vertical="center" wrapText="1"/>
    </xf>
    <xf numFmtId="0" fontId="24" fillId="3" borderId="31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left" vertical="center" wrapText="1"/>
    </xf>
    <xf numFmtId="41" fontId="24" fillId="0" borderId="11" xfId="2" applyFont="1" applyBorder="1" applyAlignment="1">
      <alignment horizontal="right" vertical="center"/>
    </xf>
    <xf numFmtId="41" fontId="24" fillId="0" borderId="40" xfId="2" applyFont="1" applyBorder="1" applyAlignment="1">
      <alignment horizontal="right" vertical="center"/>
    </xf>
    <xf numFmtId="0" fontId="2" fillId="3" borderId="33" xfId="1" applyFont="1" applyFill="1" applyBorder="1" applyAlignment="1">
      <alignment horizontal="center" vertical="center" wrapText="1"/>
    </xf>
    <xf numFmtId="0" fontId="2" fillId="3" borderId="53" xfId="1" applyFont="1" applyFill="1" applyBorder="1" applyAlignment="1">
      <alignment horizontal="center" vertical="center" wrapText="1"/>
    </xf>
    <xf numFmtId="0" fontId="37" fillId="0" borderId="0" xfId="1" applyFont="1" applyAlignment="1">
      <alignment horizontal="center" vertical="center"/>
    </xf>
    <xf numFmtId="0" fontId="29" fillId="6" borderId="0" xfId="1" applyFont="1" applyFill="1" applyAlignment="1">
      <alignment horizontal="center" vertical="center"/>
    </xf>
    <xf numFmtId="14" fontId="3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/>
    </xf>
    <xf numFmtId="0" fontId="38" fillId="6" borderId="61" xfId="1" applyFont="1" applyFill="1" applyBorder="1" applyAlignment="1">
      <alignment horizontal="center" vertical="center"/>
    </xf>
    <xf numFmtId="0" fontId="38" fillId="6" borderId="6" xfId="1" applyFont="1" applyFill="1" applyBorder="1" applyAlignment="1">
      <alignment horizontal="center" vertical="center"/>
    </xf>
    <xf numFmtId="0" fontId="38" fillId="6" borderId="45" xfId="1" applyFont="1" applyFill="1" applyBorder="1" applyAlignment="1">
      <alignment horizontal="center" vertical="center"/>
    </xf>
    <xf numFmtId="0" fontId="3" fillId="3" borderId="62" xfId="1" applyFont="1" applyFill="1" applyBorder="1" applyAlignment="1">
      <alignment horizontal="center" vertical="center"/>
    </xf>
    <xf numFmtId="0" fontId="3" fillId="3" borderId="63" xfId="1" applyFont="1" applyFill="1" applyBorder="1" applyAlignment="1">
      <alignment horizontal="center" vertical="center"/>
    </xf>
    <xf numFmtId="0" fontId="3" fillId="3" borderId="58" xfId="1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40" fillId="0" borderId="0" xfId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41" fillId="0" borderId="0" xfId="0" applyFont="1"/>
    <xf numFmtId="0" fontId="42" fillId="0" borderId="0" xfId="1" applyFont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0" fontId="38" fillId="8" borderId="4" xfId="1" applyFont="1" applyFill="1" applyBorder="1" applyAlignment="1">
      <alignment horizontal="center" vertical="center"/>
    </xf>
    <xf numFmtId="0" fontId="38" fillId="8" borderId="5" xfId="1" applyFont="1" applyFill="1" applyBorder="1" applyAlignment="1">
      <alignment horizontal="center" vertical="center"/>
    </xf>
    <xf numFmtId="0" fontId="38" fillId="8" borderId="46" xfId="1" applyFont="1" applyFill="1" applyBorder="1" applyAlignment="1">
      <alignment horizontal="center" vertical="center"/>
    </xf>
    <xf numFmtId="0" fontId="15" fillId="16" borderId="3" xfId="1" applyFont="1" applyFill="1" applyBorder="1" applyAlignment="1">
      <alignment horizontal="center" vertical="center"/>
    </xf>
    <xf numFmtId="0" fontId="15" fillId="16" borderId="1" xfId="1" applyFont="1" applyFill="1" applyBorder="1" applyAlignment="1">
      <alignment horizontal="center" vertical="center"/>
    </xf>
    <xf numFmtId="0" fontId="15" fillId="16" borderId="48" xfId="1" applyFont="1" applyFill="1" applyBorder="1" applyAlignment="1">
      <alignment horizontal="center" vertical="center"/>
    </xf>
    <xf numFmtId="0" fontId="15" fillId="16" borderId="4" xfId="1" applyFont="1" applyFill="1" applyBorder="1" applyAlignment="1">
      <alignment horizontal="center" vertical="center" wrapText="1"/>
    </xf>
    <xf numFmtId="0" fontId="15" fillId="16" borderId="2" xfId="1" applyFont="1" applyFill="1" applyBorder="1" applyAlignment="1">
      <alignment horizontal="center" vertical="center" wrapText="1"/>
    </xf>
    <xf numFmtId="0" fontId="15" fillId="16" borderId="49" xfId="1" applyFont="1" applyFill="1" applyBorder="1" applyAlignment="1">
      <alignment horizontal="center" vertical="center" wrapText="1"/>
    </xf>
    <xf numFmtId="0" fontId="15" fillId="16" borderId="4" xfId="1" applyFont="1" applyFill="1" applyBorder="1" applyAlignment="1">
      <alignment horizontal="center" vertical="center"/>
    </xf>
    <xf numFmtId="0" fontId="15" fillId="16" borderId="2" xfId="1" applyFont="1" applyFill="1" applyBorder="1" applyAlignment="1">
      <alignment horizontal="center" vertical="center"/>
    </xf>
    <xf numFmtId="0" fontId="15" fillId="16" borderId="49" xfId="1" applyFont="1" applyFill="1" applyBorder="1" applyAlignment="1">
      <alignment horizontal="center" vertical="center"/>
    </xf>
    <xf numFmtId="0" fontId="15" fillId="16" borderId="44" xfId="1" applyFont="1" applyFill="1" applyBorder="1" applyAlignment="1">
      <alignment horizontal="center" vertical="center"/>
    </xf>
    <xf numFmtId="0" fontId="15" fillId="16" borderId="47" xfId="1" applyFont="1" applyFill="1" applyBorder="1" applyAlignment="1">
      <alignment horizontal="center" vertical="center"/>
    </xf>
    <xf numFmtId="0" fontId="15" fillId="16" borderId="50" xfId="1" applyFont="1" applyFill="1" applyBorder="1" applyAlignment="1">
      <alignment horizontal="center" vertical="center"/>
    </xf>
    <xf numFmtId="0" fontId="3" fillId="8" borderId="11" xfId="1" applyFont="1" applyFill="1" applyBorder="1" applyAlignment="1">
      <alignment horizontal="center" vertical="center" wrapText="1"/>
    </xf>
    <xf numFmtId="0" fontId="3" fillId="8" borderId="52" xfId="1" applyFont="1" applyFill="1" applyBorder="1" applyAlignment="1">
      <alignment horizontal="center" vertical="center" wrapText="1"/>
    </xf>
    <xf numFmtId="0" fontId="3" fillId="8" borderId="2" xfId="1" applyFont="1" applyFill="1" applyBorder="1" applyAlignment="1">
      <alignment horizontal="center" vertical="center" wrapText="1"/>
    </xf>
    <xf numFmtId="0" fontId="3" fillId="8" borderId="49" xfId="1" applyFont="1" applyFill="1" applyBorder="1" applyAlignment="1">
      <alignment horizontal="center" vertical="center"/>
    </xf>
    <xf numFmtId="0" fontId="3" fillId="8" borderId="49" xfId="1" applyFont="1" applyFill="1" applyBorder="1" applyAlignment="1">
      <alignment horizontal="center" vertical="center" wrapText="1"/>
    </xf>
    <xf numFmtId="0" fontId="2" fillId="8" borderId="2" xfId="1" applyFont="1" applyFill="1" applyBorder="1" applyAlignment="1">
      <alignment horizontal="center" vertical="center" wrapText="1"/>
    </xf>
    <xf numFmtId="0" fontId="2" fillId="8" borderId="49" xfId="1" applyFont="1" applyFill="1" applyBorder="1" applyAlignment="1">
      <alignment horizontal="center" vertical="center" wrapText="1"/>
    </xf>
    <xf numFmtId="0" fontId="11" fillId="0" borderId="0" xfId="0" applyFont="1"/>
    <xf numFmtId="165" fontId="27" fillId="12" borderId="0" xfId="0" applyNumberFormat="1" applyFont="1" applyFill="1" applyAlignment="1">
      <alignment horizontal="center" vertical="center"/>
    </xf>
    <xf numFmtId="3" fontId="20" fillId="0" borderId="0" xfId="0" applyNumberFormat="1" applyFont="1" applyAlignment="1">
      <alignment vertical="center"/>
    </xf>
    <xf numFmtId="0" fontId="9" fillId="0" borderId="0" xfId="0" applyFont="1"/>
    <xf numFmtId="3" fontId="8" fillId="0" borderId="0" xfId="0" applyNumberFormat="1" applyFont="1" applyAlignment="1">
      <alignment vertical="center"/>
    </xf>
    <xf numFmtId="164" fontId="7" fillId="0" borderId="3" xfId="0" applyNumberFormat="1" applyFont="1" applyBorder="1" applyAlignment="1">
      <alignment horizontal="center" vertical="center"/>
    </xf>
    <xf numFmtId="0" fontId="21" fillId="0" borderId="10" xfId="0" applyFont="1" applyBorder="1"/>
    <xf numFmtId="164" fontId="7" fillId="0" borderId="4" xfId="0" applyNumberFormat="1" applyFont="1" applyBorder="1" applyAlignment="1">
      <alignment horizontal="center" vertical="center"/>
    </xf>
    <xf numFmtId="0" fontId="21" fillId="0" borderId="11" xfId="0" applyFont="1" applyBorder="1"/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/>
    </xf>
    <xf numFmtId="3" fontId="8" fillId="3" borderId="24" xfId="0" applyNumberFormat="1" applyFont="1" applyFill="1" applyBorder="1" applyAlignment="1">
      <alignment horizontal="center" vertical="center" wrapText="1"/>
    </xf>
    <xf numFmtId="0" fontId="21" fillId="3" borderId="25" xfId="0" applyFont="1" applyFill="1" applyBorder="1" applyAlignment="1">
      <alignment horizontal="center"/>
    </xf>
    <xf numFmtId="0" fontId="24" fillId="0" borderId="6" xfId="0" applyFont="1" applyBorder="1" applyAlignment="1">
      <alignment horizontal="center" vertical="center"/>
    </xf>
    <xf numFmtId="3" fontId="8" fillId="8" borderId="24" xfId="0" applyNumberFormat="1" applyFont="1" applyFill="1" applyBorder="1" applyAlignment="1">
      <alignment horizontal="center" vertical="center" wrapText="1"/>
    </xf>
    <xf numFmtId="0" fontId="24" fillId="8" borderId="25" xfId="0" applyFont="1" applyFill="1" applyBorder="1"/>
    <xf numFmtId="3" fontId="7" fillId="0" borderId="5" xfId="0" applyNumberFormat="1" applyFont="1" applyBorder="1" applyAlignment="1">
      <alignment horizontal="center" vertical="center" wrapText="1"/>
    </xf>
    <xf numFmtId="3" fontId="7" fillId="0" borderId="16" xfId="0" applyNumberFormat="1" applyFont="1" applyBorder="1" applyAlignment="1">
      <alignment horizontal="center" vertical="center" wrapText="1"/>
    </xf>
    <xf numFmtId="3" fontId="6" fillId="9" borderId="24" xfId="0" applyNumberFormat="1" applyFont="1" applyFill="1" applyBorder="1" applyAlignment="1">
      <alignment horizontal="center" vertical="center" wrapText="1"/>
    </xf>
    <xf numFmtId="0" fontId="21" fillId="8" borderId="25" xfId="0" applyFont="1" applyFill="1" applyBorder="1" applyAlignment="1">
      <alignment horizontal="center"/>
    </xf>
    <xf numFmtId="3" fontId="8" fillId="0" borderId="7" xfId="0" applyNumberFormat="1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164" fontId="29" fillId="6" borderId="0" xfId="1" applyNumberFormat="1" applyFont="1" applyFill="1" applyAlignment="1">
      <alignment horizontal="right" vertical="center"/>
    </xf>
    <xf numFmtId="0" fontId="9" fillId="0" borderId="0" xfId="0" applyFont="1" applyAlignment="1">
      <alignment horizontal="center"/>
    </xf>
    <xf numFmtId="0" fontId="36" fillId="0" borderId="0" xfId="1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4">
    <cellStyle name="Comma [0]" xfId="2" builtinId="6"/>
    <cellStyle name="Normal" xfId="0" builtinId="0"/>
    <cellStyle name="Normal 2" xfId="1" xr:uid="{393BBA68-E0D2-4024-A65A-F216B4B083DC}"/>
    <cellStyle name="Normal 3" xfId="3" xr:uid="{106339B2-71A8-4468-AC6C-18D4D6B366DB}"/>
  </cellStyles>
  <dxfs count="7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1EBC0-875D-4DAD-8CFB-05F07E52AA40}">
  <sheetPr>
    <tabColor theme="7" tint="-0.499984740745262"/>
    <pageSetUpPr fitToPage="1"/>
  </sheetPr>
  <dimension ref="B1:H31"/>
  <sheetViews>
    <sheetView showGridLines="0" zoomScale="85" zoomScaleNormal="85" workbookViewId="0">
      <selection activeCell="J4" sqref="J4"/>
    </sheetView>
  </sheetViews>
  <sheetFormatPr defaultColWidth="13.81640625" defaultRowHeight="15" customHeight="1" x14ac:dyDescent="0.3"/>
  <cols>
    <col min="1" max="1" width="4.90625" style="9" bestFit="1" customWidth="1"/>
    <col min="2" max="3" width="8.81640625" style="9" customWidth="1"/>
    <col min="4" max="4" width="10.54296875" style="9" customWidth="1"/>
    <col min="5" max="5" width="10.54296875" style="34" customWidth="1"/>
    <col min="6" max="6" width="9.81640625" style="9" bestFit="1" customWidth="1"/>
    <col min="7" max="8" width="10.54296875" style="9" customWidth="1"/>
    <col min="9" max="9" width="8.81640625" style="9" customWidth="1"/>
    <col min="10" max="20" width="9.81640625" style="9" customWidth="1"/>
    <col min="21" max="21" width="21.1796875" style="9" customWidth="1"/>
    <col min="22" max="44" width="9.81640625" style="9" customWidth="1"/>
    <col min="45" max="16384" width="13.81640625" style="9"/>
  </cols>
  <sheetData>
    <row r="1" spans="2:8" ht="38.5" customHeight="1" x14ac:dyDescent="0.3">
      <c r="B1" s="330" t="e" vm="1">
        <v>#VALUE!</v>
      </c>
      <c r="C1" s="330"/>
      <c r="D1" s="330"/>
      <c r="E1" s="330"/>
      <c r="F1" s="330"/>
      <c r="G1" s="330"/>
      <c r="H1" s="330"/>
    </row>
    <row r="2" spans="2:8" ht="15" customHeight="1" x14ac:dyDescent="0.3">
      <c r="B2" s="222" t="s">
        <v>61</v>
      </c>
      <c r="C2" s="222"/>
    </row>
    <row r="3" spans="2:8" ht="7" customHeight="1" x14ac:dyDescent="0.3">
      <c r="C3" s="3"/>
      <c r="D3" s="4"/>
      <c r="E3" s="6"/>
      <c r="F3" s="5"/>
      <c r="G3" s="5"/>
      <c r="H3" s="5"/>
    </row>
    <row r="4" spans="2:8" ht="27.75" customHeight="1" x14ac:dyDescent="0.3">
      <c r="B4" s="224" t="s">
        <v>65</v>
      </c>
      <c r="C4" s="224"/>
      <c r="D4" s="224"/>
      <c r="E4" s="224"/>
      <c r="F4" s="224"/>
      <c r="G4" s="224"/>
      <c r="H4" s="224"/>
    </row>
    <row r="5" spans="2:8" ht="24" customHeight="1" x14ac:dyDescent="0.3">
      <c r="B5" s="225">
        <f>'CHAM CONG'!C4</f>
        <v>45505</v>
      </c>
      <c r="C5" s="225"/>
      <c r="D5" s="225"/>
      <c r="E5" s="225"/>
      <c r="F5" s="225"/>
      <c r="G5" s="225"/>
      <c r="H5" s="225"/>
    </row>
    <row r="6" spans="2:8" ht="10" customHeight="1" x14ac:dyDescent="0.3">
      <c r="B6" s="49"/>
      <c r="C6" s="49"/>
      <c r="D6" s="49"/>
      <c r="E6" s="49"/>
      <c r="F6" s="49"/>
      <c r="G6" s="49"/>
      <c r="H6" s="49"/>
    </row>
    <row r="7" spans="2:8" s="131" customFormat="1" ht="25" customHeight="1" x14ac:dyDescent="0.45">
      <c r="B7" s="228" t="s">
        <v>129</v>
      </c>
      <c r="C7" s="228"/>
      <c r="D7" s="226" t="s">
        <v>32</v>
      </c>
      <c r="E7" s="226"/>
      <c r="F7" s="226"/>
      <c r="G7" s="226"/>
      <c r="H7" s="226"/>
    </row>
    <row r="8" spans="2:8" ht="23" customHeight="1" x14ac:dyDescent="0.3">
      <c r="B8" s="228" t="s">
        <v>67</v>
      </c>
      <c r="C8" s="228"/>
      <c r="D8" s="226" t="str">
        <f>VLOOKUP(D7,'DS NV'!$A$1:$D$11,2,0)</f>
        <v>NGUYỄN VĂN A</v>
      </c>
      <c r="E8" s="226"/>
      <c r="F8" s="226"/>
      <c r="G8" s="226"/>
      <c r="H8" s="226"/>
    </row>
    <row r="9" spans="2:8" ht="16" customHeight="1" x14ac:dyDescent="0.3">
      <c r="B9" s="229" t="s">
        <v>69</v>
      </c>
      <c r="C9" s="229"/>
      <c r="D9" s="227" t="str">
        <f>VLOOKUP(D7,'DS NV'!$A$1:$D$11,3,0)</f>
        <v>Manager</v>
      </c>
      <c r="E9" s="227"/>
      <c r="F9" s="115" t="s">
        <v>68</v>
      </c>
      <c r="G9" s="223" t="str">
        <f>VLOOKUP(D7,'DS NV'!$A$1:$D$11,4,0)</f>
        <v>Nhân sự</v>
      </c>
      <c r="H9" s="223"/>
    </row>
    <row r="10" spans="2:8" ht="9" customHeight="1" thickBot="1" x14ac:dyDescent="0.35">
      <c r="B10" s="2"/>
      <c r="C10" s="3"/>
      <c r="D10" s="4"/>
      <c r="E10" s="6"/>
      <c r="F10" s="5"/>
      <c r="G10" s="5"/>
      <c r="H10" s="5"/>
    </row>
    <row r="11" spans="2:8" s="35" customFormat="1" ht="22" customHeight="1" thickBot="1" x14ac:dyDescent="0.4">
      <c r="B11" s="129" t="s">
        <v>0</v>
      </c>
      <c r="C11" s="230" t="s">
        <v>70</v>
      </c>
      <c r="D11" s="230"/>
      <c r="E11" s="230"/>
      <c r="F11" s="230" t="s">
        <v>71</v>
      </c>
      <c r="G11" s="230"/>
      <c r="H11" s="231"/>
    </row>
    <row r="12" spans="2:8" s="35" customFormat="1" ht="16" customHeight="1" thickTop="1" x14ac:dyDescent="0.35">
      <c r="B12" s="128">
        <v>1</v>
      </c>
      <c r="C12" s="248" t="s">
        <v>75</v>
      </c>
      <c r="D12" s="248"/>
      <c r="E12" s="248"/>
      <c r="F12" s="232">
        <f>VLOOKUP($D$7,'TINH LUONG'!$B$10:$V$21,4,0)</f>
        <v>15000000</v>
      </c>
      <c r="G12" s="232"/>
      <c r="H12" s="233"/>
    </row>
    <row r="13" spans="2:8" s="35" customFormat="1" ht="16" customHeight="1" x14ac:dyDescent="0.35">
      <c r="B13" s="124">
        <v>2</v>
      </c>
      <c r="C13" s="249" t="s">
        <v>76</v>
      </c>
      <c r="D13" s="249"/>
      <c r="E13" s="249"/>
      <c r="F13" s="232">
        <f>VLOOKUP($D$7,'TINH LUONG'!$B$10:$V$21,5,0)</f>
        <v>23</v>
      </c>
      <c r="G13" s="232"/>
      <c r="H13" s="233"/>
    </row>
    <row r="14" spans="2:8" s="35" customFormat="1" ht="16" customHeight="1" x14ac:dyDescent="0.35">
      <c r="B14" s="125" t="s">
        <v>13</v>
      </c>
      <c r="C14" s="250" t="s">
        <v>77</v>
      </c>
      <c r="D14" s="250"/>
      <c r="E14" s="250"/>
      <c r="F14" s="234">
        <f>VLOOKUP($D$7,'TINH LUONG'!$B$10:$V$21,6,0)</f>
        <v>12777777.777777776</v>
      </c>
      <c r="G14" s="234"/>
      <c r="H14" s="235"/>
    </row>
    <row r="15" spans="2:8" s="35" customFormat="1" ht="16" customHeight="1" x14ac:dyDescent="0.35">
      <c r="B15" s="251" t="s">
        <v>82</v>
      </c>
      <c r="C15" s="252"/>
      <c r="D15" s="252"/>
      <c r="E15" s="252"/>
      <c r="F15" s="252"/>
      <c r="G15" s="252"/>
      <c r="H15" s="253"/>
    </row>
    <row r="16" spans="2:8" s="35" customFormat="1" ht="16" customHeight="1" x14ac:dyDescent="0.35">
      <c r="B16" s="124">
        <v>3</v>
      </c>
      <c r="C16" s="249" t="s">
        <v>78</v>
      </c>
      <c r="D16" s="249"/>
      <c r="E16" s="249"/>
      <c r="F16" s="236">
        <f>VLOOKUP($D$7,'TINH LUONG'!$B$10:$V$21,7,0)</f>
        <v>690000</v>
      </c>
      <c r="G16" s="236"/>
      <c r="H16" s="237"/>
    </row>
    <row r="17" spans="2:8" s="35" customFormat="1" ht="16" customHeight="1" x14ac:dyDescent="0.35">
      <c r="B17" s="124">
        <v>4</v>
      </c>
      <c r="C17" s="249" t="s">
        <v>79</v>
      </c>
      <c r="D17" s="249"/>
      <c r="E17" s="249"/>
      <c r="F17" s="236">
        <f>VLOOKUP($D$7,'TINH LUONG'!$B$10:$V$21,8,0)</f>
        <v>0</v>
      </c>
      <c r="G17" s="236"/>
      <c r="H17" s="237"/>
    </row>
    <row r="18" spans="2:8" s="35" customFormat="1" ht="16" customHeight="1" x14ac:dyDescent="0.35">
      <c r="B18" s="124">
        <v>5</v>
      </c>
      <c r="C18" s="249" t="s">
        <v>80</v>
      </c>
      <c r="D18" s="249"/>
      <c r="E18" s="249"/>
      <c r="F18" s="240">
        <f>VLOOKUP($D$7,'TINH LUONG'!$B$10:$V$21,9,0)</f>
        <v>345000</v>
      </c>
      <c r="G18" s="241"/>
      <c r="H18" s="242"/>
    </row>
    <row r="19" spans="2:8" s="35" customFormat="1" ht="16" customHeight="1" x14ac:dyDescent="0.35">
      <c r="B19" s="124">
        <v>6</v>
      </c>
      <c r="C19" s="249" t="s">
        <v>81</v>
      </c>
      <c r="D19" s="249"/>
      <c r="E19" s="249"/>
      <c r="F19" s="240">
        <f>VLOOKUP($D$7,'TINH LUONG'!$B$10:$V$21,10,0)</f>
        <v>3000000</v>
      </c>
      <c r="G19" s="241"/>
      <c r="H19" s="242"/>
    </row>
    <row r="20" spans="2:8" s="35" customFormat="1" ht="16" customHeight="1" x14ac:dyDescent="0.35">
      <c r="B20" s="126" t="s">
        <v>14</v>
      </c>
      <c r="C20" s="250" t="s">
        <v>83</v>
      </c>
      <c r="D20" s="250"/>
      <c r="E20" s="250"/>
      <c r="F20" s="243">
        <f>VLOOKUP($D$7,'TINH LUONG'!$B$10:$V$21,11,0)</f>
        <v>16812777.777777776</v>
      </c>
      <c r="G20" s="244"/>
      <c r="H20" s="245"/>
    </row>
    <row r="21" spans="2:8" s="35" customFormat="1" ht="16" customHeight="1" x14ac:dyDescent="0.35">
      <c r="B21" s="251" t="s">
        <v>84</v>
      </c>
      <c r="C21" s="252"/>
      <c r="D21" s="252"/>
      <c r="E21" s="252"/>
      <c r="F21" s="252"/>
      <c r="G21" s="252"/>
      <c r="H21" s="253"/>
    </row>
    <row r="22" spans="2:8" s="35" customFormat="1" ht="16" customHeight="1" x14ac:dyDescent="0.35">
      <c r="B22" s="124">
        <v>7</v>
      </c>
      <c r="C22" s="249" t="s">
        <v>85</v>
      </c>
      <c r="D22" s="249"/>
      <c r="E22" s="249"/>
      <c r="F22" s="238">
        <f>VLOOKUP($D$7,'TINH LUONG'!$B$10:$V$21,12,0)</f>
        <v>1022222.2222222221</v>
      </c>
      <c r="G22" s="238"/>
      <c r="H22" s="239"/>
    </row>
    <row r="23" spans="2:8" s="35" customFormat="1" ht="16" customHeight="1" x14ac:dyDescent="0.35">
      <c r="B23" s="124">
        <v>8</v>
      </c>
      <c r="C23" s="249" t="s">
        <v>86</v>
      </c>
      <c r="D23" s="249"/>
      <c r="E23" s="249"/>
      <c r="F23" s="238">
        <f>VLOOKUP($D$7,'TINH LUONG'!$B$10:$V$21,13,0)</f>
        <v>191666.66666666663</v>
      </c>
      <c r="G23" s="238"/>
      <c r="H23" s="239"/>
    </row>
    <row r="24" spans="2:8" s="35" customFormat="1" ht="16" customHeight="1" x14ac:dyDescent="0.35">
      <c r="B24" s="124">
        <v>9</v>
      </c>
      <c r="C24" s="249" t="s">
        <v>87</v>
      </c>
      <c r="D24" s="249"/>
      <c r="E24" s="249"/>
      <c r="F24" s="238">
        <f>VLOOKUP($D$7,'TINH LUONG'!$B$10:$V$21,14,0)</f>
        <v>127777.77777777777</v>
      </c>
      <c r="G24" s="238"/>
      <c r="H24" s="239"/>
    </row>
    <row r="25" spans="2:8" s="35" customFormat="1" ht="16" customHeight="1" x14ac:dyDescent="0.35">
      <c r="B25" s="127" t="s">
        <v>57</v>
      </c>
      <c r="C25" s="254" t="s">
        <v>56</v>
      </c>
      <c r="D25" s="254"/>
      <c r="E25" s="254"/>
      <c r="F25" s="246">
        <f>VLOOKUP($D$7,'TINH LUONG'!$B$10:$V$21,15,0)</f>
        <v>1341666.6666666665</v>
      </c>
      <c r="G25" s="246"/>
      <c r="H25" s="247"/>
    </row>
    <row r="26" spans="2:8" s="35" customFormat="1" ht="16" customHeight="1" x14ac:dyDescent="0.35">
      <c r="B26" s="124">
        <v>10</v>
      </c>
      <c r="C26" s="249" t="s">
        <v>52</v>
      </c>
      <c r="D26" s="249"/>
      <c r="E26" s="249"/>
      <c r="F26" s="238">
        <f>VLOOKUP($D$7,'TINH LUONG'!$B$10:$V$21,16,0)</f>
        <v>1</v>
      </c>
      <c r="G26" s="238"/>
      <c r="H26" s="239"/>
    </row>
    <row r="27" spans="2:8" s="35" customFormat="1" ht="16" customHeight="1" x14ac:dyDescent="0.35">
      <c r="B27" s="124">
        <v>11</v>
      </c>
      <c r="C27" s="249" t="s">
        <v>55</v>
      </c>
      <c r="D27" s="249"/>
      <c r="E27" s="249"/>
      <c r="F27" s="238">
        <f>VLOOKUP($D$7,'TINH LUONG'!$B$10:$V$21,17,0)</f>
        <v>15400000</v>
      </c>
      <c r="G27" s="238"/>
      <c r="H27" s="239"/>
    </row>
    <row r="28" spans="2:8" s="35" customFormat="1" ht="16" customHeight="1" x14ac:dyDescent="0.35">
      <c r="B28" s="124">
        <v>12</v>
      </c>
      <c r="C28" s="249" t="s">
        <v>54</v>
      </c>
      <c r="D28" s="249"/>
      <c r="E28" s="249"/>
      <c r="F28" s="238">
        <f>VLOOKUP($D$7,'TINH LUONG'!$B$10:$V$21,18,0)</f>
        <v>71111.111111110076</v>
      </c>
      <c r="G28" s="238"/>
      <c r="H28" s="239"/>
    </row>
    <row r="29" spans="2:8" s="35" customFormat="1" ht="16" customHeight="1" x14ac:dyDescent="0.35">
      <c r="B29" s="127" t="s">
        <v>58</v>
      </c>
      <c r="C29" s="254" t="s">
        <v>88</v>
      </c>
      <c r="D29" s="254"/>
      <c r="E29" s="254"/>
      <c r="F29" s="246">
        <f>VLOOKUP($D$7,'TINH LUONG'!$B$10:$V$21,19,0)</f>
        <v>3555.5555555555038</v>
      </c>
      <c r="G29" s="246"/>
      <c r="H29" s="247"/>
    </row>
    <row r="30" spans="2:8" ht="16" customHeight="1" thickBot="1" x14ac:dyDescent="0.35">
      <c r="B30" s="130" t="s">
        <v>59</v>
      </c>
      <c r="C30" s="260" t="s">
        <v>89</v>
      </c>
      <c r="D30" s="260"/>
      <c r="E30" s="260"/>
      <c r="F30" s="261">
        <f>VLOOKUP($D$7,'TINH LUONG'!$B$10:$V$21,20,0)</f>
        <v>0</v>
      </c>
      <c r="G30" s="261"/>
      <c r="H30" s="262"/>
    </row>
    <row r="31" spans="2:8" ht="20" customHeight="1" thickBot="1" x14ac:dyDescent="0.35">
      <c r="B31" s="257" t="s">
        <v>90</v>
      </c>
      <c r="C31" s="258"/>
      <c r="D31" s="258"/>
      <c r="E31" s="259"/>
      <c r="F31" s="255">
        <f>VLOOKUP($D$7,'TINH LUONG'!$B$10:$V$21,21,0)</f>
        <v>15467555.555555554</v>
      </c>
      <c r="G31" s="255"/>
      <c r="H31" s="256"/>
    </row>
  </sheetData>
  <mergeCells count="51">
    <mergeCell ref="B1:H1"/>
    <mergeCell ref="F31:H31"/>
    <mergeCell ref="B31:E31"/>
    <mergeCell ref="C28:E28"/>
    <mergeCell ref="F28:H28"/>
    <mergeCell ref="C29:E29"/>
    <mergeCell ref="F29:H29"/>
    <mergeCell ref="C30:E30"/>
    <mergeCell ref="F30:H30"/>
    <mergeCell ref="C11:E11"/>
    <mergeCell ref="B15:H15"/>
    <mergeCell ref="B21:H21"/>
    <mergeCell ref="C27:E27"/>
    <mergeCell ref="F27:H27"/>
    <mergeCell ref="C17:E17"/>
    <mergeCell ref="C19:E19"/>
    <mergeCell ref="C20:E20"/>
    <mergeCell ref="C22:E22"/>
    <mergeCell ref="F22:H22"/>
    <mergeCell ref="F23:H23"/>
    <mergeCell ref="C24:E24"/>
    <mergeCell ref="C25:E25"/>
    <mergeCell ref="C26:E26"/>
    <mergeCell ref="C23:E23"/>
    <mergeCell ref="F24:H24"/>
    <mergeCell ref="C12:E12"/>
    <mergeCell ref="C13:E13"/>
    <mergeCell ref="C14:E14"/>
    <mergeCell ref="C16:E16"/>
    <mergeCell ref="C18:E18"/>
    <mergeCell ref="F26:H26"/>
    <mergeCell ref="F17:H17"/>
    <mergeCell ref="F18:H18"/>
    <mergeCell ref="F19:H19"/>
    <mergeCell ref="F20:H20"/>
    <mergeCell ref="F25:H25"/>
    <mergeCell ref="F11:H11"/>
    <mergeCell ref="F12:H12"/>
    <mergeCell ref="F13:H13"/>
    <mergeCell ref="F14:H14"/>
    <mergeCell ref="F16:H16"/>
    <mergeCell ref="B2:C2"/>
    <mergeCell ref="G9:H9"/>
    <mergeCell ref="B4:H4"/>
    <mergeCell ref="B5:H5"/>
    <mergeCell ref="D7:H7"/>
    <mergeCell ref="D9:E9"/>
    <mergeCell ref="B7:C7"/>
    <mergeCell ref="B8:C8"/>
    <mergeCell ref="B9:C9"/>
    <mergeCell ref="D8:H8"/>
  </mergeCells>
  <printOptions horizontalCentered="1"/>
  <pageMargins left="0.11811023622047245" right="0.11811023622047245" top="0.19685039370078741" bottom="0.19685039370078741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0264F8-9451-424A-8B60-775AB8F2F6AF}">
          <x14:formula1>
            <xm:f>'DS NV'!$A$2:$A$11</xm:f>
          </x14:formula1>
          <xm:sqref>D7:H7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FA76A-B35A-42E8-9CCA-2B82905A9973}">
  <sheetPr>
    <tabColor theme="9"/>
  </sheetPr>
  <dimension ref="A1:AO32"/>
  <sheetViews>
    <sheetView showGridLines="0" zoomScale="80" zoomScaleNormal="80" zoomScaleSheetLayoutView="80" workbookViewId="0">
      <selection activeCell="E2" sqref="E2:AI2"/>
    </sheetView>
  </sheetViews>
  <sheetFormatPr defaultColWidth="10.1796875" defaultRowHeight="15" customHeight="1" x14ac:dyDescent="0.3"/>
  <cols>
    <col min="1" max="1" width="4.81640625" style="134" customWidth="1"/>
    <col min="2" max="2" width="7.6328125" style="134" customWidth="1"/>
    <col min="3" max="3" width="19" style="134" customWidth="1"/>
    <col min="4" max="4" width="11" style="134" customWidth="1"/>
    <col min="5" max="18" width="2.81640625" style="140" customWidth="1"/>
    <col min="19" max="19" width="3.1796875" style="140" bestFit="1" customWidth="1"/>
    <col min="20" max="22" width="2.81640625" style="140" customWidth="1"/>
    <col min="23" max="23" width="3.36328125" style="140" customWidth="1"/>
    <col min="24" max="34" width="2.81640625" style="140" customWidth="1"/>
    <col min="35" max="35" width="3" style="140" customWidth="1"/>
    <col min="36" max="41" width="9.81640625" style="134" customWidth="1"/>
    <col min="42" max="259" width="10.1796875" style="134"/>
    <col min="260" max="260" width="4.81640625" style="134" customWidth="1"/>
    <col min="261" max="261" width="21.54296875" style="134" customWidth="1"/>
    <col min="262" max="262" width="11" style="134" customWidth="1"/>
    <col min="263" max="292" width="2.81640625" style="134" customWidth="1"/>
    <col min="293" max="293" width="3" style="134" customWidth="1"/>
    <col min="294" max="294" width="5.54296875" style="134" customWidth="1"/>
    <col min="295" max="295" width="6" style="134" customWidth="1"/>
    <col min="296" max="296" width="5.81640625" style="134" customWidth="1"/>
    <col min="297" max="297" width="6" style="134" customWidth="1"/>
    <col min="298" max="515" width="10.1796875" style="134"/>
    <col min="516" max="516" width="4.81640625" style="134" customWidth="1"/>
    <col min="517" max="517" width="21.54296875" style="134" customWidth="1"/>
    <col min="518" max="518" width="11" style="134" customWidth="1"/>
    <col min="519" max="548" width="2.81640625" style="134" customWidth="1"/>
    <col min="549" max="549" width="3" style="134" customWidth="1"/>
    <col min="550" max="550" width="5.54296875" style="134" customWidth="1"/>
    <col min="551" max="551" width="6" style="134" customWidth="1"/>
    <col min="552" max="552" width="5.81640625" style="134" customWidth="1"/>
    <col min="553" max="553" width="6" style="134" customWidth="1"/>
    <col min="554" max="771" width="10.1796875" style="134"/>
    <col min="772" max="772" width="4.81640625" style="134" customWidth="1"/>
    <col min="773" max="773" width="21.54296875" style="134" customWidth="1"/>
    <col min="774" max="774" width="11" style="134" customWidth="1"/>
    <col min="775" max="804" width="2.81640625" style="134" customWidth="1"/>
    <col min="805" max="805" width="3" style="134" customWidth="1"/>
    <col min="806" max="806" width="5.54296875" style="134" customWidth="1"/>
    <col min="807" max="807" width="6" style="134" customWidth="1"/>
    <col min="808" max="808" width="5.81640625" style="134" customWidth="1"/>
    <col min="809" max="809" width="6" style="134" customWidth="1"/>
    <col min="810" max="1027" width="10.1796875" style="134"/>
    <col min="1028" max="1028" width="4.81640625" style="134" customWidth="1"/>
    <col min="1029" max="1029" width="21.54296875" style="134" customWidth="1"/>
    <col min="1030" max="1030" width="11" style="134" customWidth="1"/>
    <col min="1031" max="1060" width="2.81640625" style="134" customWidth="1"/>
    <col min="1061" max="1061" width="3" style="134" customWidth="1"/>
    <col min="1062" max="1062" width="5.54296875" style="134" customWidth="1"/>
    <col min="1063" max="1063" width="6" style="134" customWidth="1"/>
    <col min="1064" max="1064" width="5.81640625" style="134" customWidth="1"/>
    <col min="1065" max="1065" width="6" style="134" customWidth="1"/>
    <col min="1066" max="1283" width="10.1796875" style="134"/>
    <col min="1284" max="1284" width="4.81640625" style="134" customWidth="1"/>
    <col min="1285" max="1285" width="21.54296875" style="134" customWidth="1"/>
    <col min="1286" max="1286" width="11" style="134" customWidth="1"/>
    <col min="1287" max="1316" width="2.81640625" style="134" customWidth="1"/>
    <col min="1317" max="1317" width="3" style="134" customWidth="1"/>
    <col min="1318" max="1318" width="5.54296875" style="134" customWidth="1"/>
    <col min="1319" max="1319" width="6" style="134" customWidth="1"/>
    <col min="1320" max="1320" width="5.81640625" style="134" customWidth="1"/>
    <col min="1321" max="1321" width="6" style="134" customWidth="1"/>
    <col min="1322" max="1539" width="10.1796875" style="134"/>
    <col min="1540" max="1540" width="4.81640625" style="134" customWidth="1"/>
    <col min="1541" max="1541" width="21.54296875" style="134" customWidth="1"/>
    <col min="1542" max="1542" width="11" style="134" customWidth="1"/>
    <col min="1543" max="1572" width="2.81640625" style="134" customWidth="1"/>
    <col min="1573" max="1573" width="3" style="134" customWidth="1"/>
    <col min="1574" max="1574" width="5.54296875" style="134" customWidth="1"/>
    <col min="1575" max="1575" width="6" style="134" customWidth="1"/>
    <col min="1576" max="1576" width="5.81640625" style="134" customWidth="1"/>
    <col min="1577" max="1577" width="6" style="134" customWidth="1"/>
    <col min="1578" max="1795" width="10.1796875" style="134"/>
    <col min="1796" max="1796" width="4.81640625" style="134" customWidth="1"/>
    <col min="1797" max="1797" width="21.54296875" style="134" customWidth="1"/>
    <col min="1798" max="1798" width="11" style="134" customWidth="1"/>
    <col min="1799" max="1828" width="2.81640625" style="134" customWidth="1"/>
    <col min="1829" max="1829" width="3" style="134" customWidth="1"/>
    <col min="1830" max="1830" width="5.54296875" style="134" customWidth="1"/>
    <col min="1831" max="1831" width="6" style="134" customWidth="1"/>
    <col min="1832" max="1832" width="5.81640625" style="134" customWidth="1"/>
    <col min="1833" max="1833" width="6" style="134" customWidth="1"/>
    <col min="1834" max="2051" width="10.1796875" style="134"/>
    <col min="2052" max="2052" width="4.81640625" style="134" customWidth="1"/>
    <col min="2053" max="2053" width="21.54296875" style="134" customWidth="1"/>
    <col min="2054" max="2054" width="11" style="134" customWidth="1"/>
    <col min="2055" max="2084" width="2.81640625" style="134" customWidth="1"/>
    <col min="2085" max="2085" width="3" style="134" customWidth="1"/>
    <col min="2086" max="2086" width="5.54296875" style="134" customWidth="1"/>
    <col min="2087" max="2087" width="6" style="134" customWidth="1"/>
    <col min="2088" max="2088" width="5.81640625" style="134" customWidth="1"/>
    <col min="2089" max="2089" width="6" style="134" customWidth="1"/>
    <col min="2090" max="2307" width="10.1796875" style="134"/>
    <col min="2308" max="2308" width="4.81640625" style="134" customWidth="1"/>
    <col min="2309" max="2309" width="21.54296875" style="134" customWidth="1"/>
    <col min="2310" max="2310" width="11" style="134" customWidth="1"/>
    <col min="2311" max="2340" width="2.81640625" style="134" customWidth="1"/>
    <col min="2341" max="2341" width="3" style="134" customWidth="1"/>
    <col min="2342" max="2342" width="5.54296875" style="134" customWidth="1"/>
    <col min="2343" max="2343" width="6" style="134" customWidth="1"/>
    <col min="2344" max="2344" width="5.81640625" style="134" customWidth="1"/>
    <col min="2345" max="2345" width="6" style="134" customWidth="1"/>
    <col min="2346" max="2563" width="10.1796875" style="134"/>
    <col min="2564" max="2564" width="4.81640625" style="134" customWidth="1"/>
    <col min="2565" max="2565" width="21.54296875" style="134" customWidth="1"/>
    <col min="2566" max="2566" width="11" style="134" customWidth="1"/>
    <col min="2567" max="2596" width="2.81640625" style="134" customWidth="1"/>
    <col min="2597" max="2597" width="3" style="134" customWidth="1"/>
    <col min="2598" max="2598" width="5.54296875" style="134" customWidth="1"/>
    <col min="2599" max="2599" width="6" style="134" customWidth="1"/>
    <col min="2600" max="2600" width="5.81640625" style="134" customWidth="1"/>
    <col min="2601" max="2601" width="6" style="134" customWidth="1"/>
    <col min="2602" max="2819" width="10.1796875" style="134"/>
    <col min="2820" max="2820" width="4.81640625" style="134" customWidth="1"/>
    <col min="2821" max="2821" width="21.54296875" style="134" customWidth="1"/>
    <col min="2822" max="2822" width="11" style="134" customWidth="1"/>
    <col min="2823" max="2852" width="2.81640625" style="134" customWidth="1"/>
    <col min="2853" max="2853" width="3" style="134" customWidth="1"/>
    <col min="2854" max="2854" width="5.54296875" style="134" customWidth="1"/>
    <col min="2855" max="2855" width="6" style="134" customWidth="1"/>
    <col min="2856" max="2856" width="5.81640625" style="134" customWidth="1"/>
    <col min="2857" max="2857" width="6" style="134" customWidth="1"/>
    <col min="2858" max="3075" width="10.1796875" style="134"/>
    <col min="3076" max="3076" width="4.81640625" style="134" customWidth="1"/>
    <col min="3077" max="3077" width="21.54296875" style="134" customWidth="1"/>
    <col min="3078" max="3078" width="11" style="134" customWidth="1"/>
    <col min="3079" max="3108" width="2.81640625" style="134" customWidth="1"/>
    <col min="3109" max="3109" width="3" style="134" customWidth="1"/>
    <col min="3110" max="3110" width="5.54296875" style="134" customWidth="1"/>
    <col min="3111" max="3111" width="6" style="134" customWidth="1"/>
    <col min="3112" max="3112" width="5.81640625" style="134" customWidth="1"/>
    <col min="3113" max="3113" width="6" style="134" customWidth="1"/>
    <col min="3114" max="3331" width="10.1796875" style="134"/>
    <col min="3332" max="3332" width="4.81640625" style="134" customWidth="1"/>
    <col min="3333" max="3333" width="21.54296875" style="134" customWidth="1"/>
    <col min="3334" max="3334" width="11" style="134" customWidth="1"/>
    <col min="3335" max="3364" width="2.81640625" style="134" customWidth="1"/>
    <col min="3365" max="3365" width="3" style="134" customWidth="1"/>
    <col min="3366" max="3366" width="5.54296875" style="134" customWidth="1"/>
    <col min="3367" max="3367" width="6" style="134" customWidth="1"/>
    <col min="3368" max="3368" width="5.81640625" style="134" customWidth="1"/>
    <col min="3369" max="3369" width="6" style="134" customWidth="1"/>
    <col min="3370" max="3587" width="10.1796875" style="134"/>
    <col min="3588" max="3588" width="4.81640625" style="134" customWidth="1"/>
    <col min="3589" max="3589" width="21.54296875" style="134" customWidth="1"/>
    <col min="3590" max="3590" width="11" style="134" customWidth="1"/>
    <col min="3591" max="3620" width="2.81640625" style="134" customWidth="1"/>
    <col min="3621" max="3621" width="3" style="134" customWidth="1"/>
    <col min="3622" max="3622" width="5.54296875" style="134" customWidth="1"/>
    <col min="3623" max="3623" width="6" style="134" customWidth="1"/>
    <col min="3624" max="3624" width="5.81640625" style="134" customWidth="1"/>
    <col min="3625" max="3625" width="6" style="134" customWidth="1"/>
    <col min="3626" max="3843" width="10.1796875" style="134"/>
    <col min="3844" max="3844" width="4.81640625" style="134" customWidth="1"/>
    <col min="3845" max="3845" width="21.54296875" style="134" customWidth="1"/>
    <col min="3846" max="3846" width="11" style="134" customWidth="1"/>
    <col min="3847" max="3876" width="2.81640625" style="134" customWidth="1"/>
    <col min="3877" max="3877" width="3" style="134" customWidth="1"/>
    <col min="3878" max="3878" width="5.54296875" style="134" customWidth="1"/>
    <col min="3879" max="3879" width="6" style="134" customWidth="1"/>
    <col min="3880" max="3880" width="5.81640625" style="134" customWidth="1"/>
    <col min="3881" max="3881" width="6" style="134" customWidth="1"/>
    <col min="3882" max="4099" width="10.1796875" style="134"/>
    <col min="4100" max="4100" width="4.81640625" style="134" customWidth="1"/>
    <col min="4101" max="4101" width="21.54296875" style="134" customWidth="1"/>
    <col min="4102" max="4102" width="11" style="134" customWidth="1"/>
    <col min="4103" max="4132" width="2.81640625" style="134" customWidth="1"/>
    <col min="4133" max="4133" width="3" style="134" customWidth="1"/>
    <col min="4134" max="4134" width="5.54296875" style="134" customWidth="1"/>
    <col min="4135" max="4135" width="6" style="134" customWidth="1"/>
    <col min="4136" max="4136" width="5.81640625" style="134" customWidth="1"/>
    <col min="4137" max="4137" width="6" style="134" customWidth="1"/>
    <col min="4138" max="4355" width="10.1796875" style="134"/>
    <col min="4356" max="4356" width="4.81640625" style="134" customWidth="1"/>
    <col min="4357" max="4357" width="21.54296875" style="134" customWidth="1"/>
    <col min="4358" max="4358" width="11" style="134" customWidth="1"/>
    <col min="4359" max="4388" width="2.81640625" style="134" customWidth="1"/>
    <col min="4389" max="4389" width="3" style="134" customWidth="1"/>
    <col min="4390" max="4390" width="5.54296875" style="134" customWidth="1"/>
    <col min="4391" max="4391" width="6" style="134" customWidth="1"/>
    <col min="4392" max="4392" width="5.81640625" style="134" customWidth="1"/>
    <col min="4393" max="4393" width="6" style="134" customWidth="1"/>
    <col min="4394" max="4611" width="10.1796875" style="134"/>
    <col min="4612" max="4612" width="4.81640625" style="134" customWidth="1"/>
    <col min="4613" max="4613" width="21.54296875" style="134" customWidth="1"/>
    <col min="4614" max="4614" width="11" style="134" customWidth="1"/>
    <col min="4615" max="4644" width="2.81640625" style="134" customWidth="1"/>
    <col min="4645" max="4645" width="3" style="134" customWidth="1"/>
    <col min="4646" max="4646" width="5.54296875" style="134" customWidth="1"/>
    <col min="4647" max="4647" width="6" style="134" customWidth="1"/>
    <col min="4648" max="4648" width="5.81640625" style="134" customWidth="1"/>
    <col min="4649" max="4649" width="6" style="134" customWidth="1"/>
    <col min="4650" max="4867" width="10.1796875" style="134"/>
    <col min="4868" max="4868" width="4.81640625" style="134" customWidth="1"/>
    <col min="4869" max="4869" width="21.54296875" style="134" customWidth="1"/>
    <col min="4870" max="4870" width="11" style="134" customWidth="1"/>
    <col min="4871" max="4900" width="2.81640625" style="134" customWidth="1"/>
    <col min="4901" max="4901" width="3" style="134" customWidth="1"/>
    <col min="4902" max="4902" width="5.54296875" style="134" customWidth="1"/>
    <col min="4903" max="4903" width="6" style="134" customWidth="1"/>
    <col min="4904" max="4904" width="5.81640625" style="134" customWidth="1"/>
    <col min="4905" max="4905" width="6" style="134" customWidth="1"/>
    <col min="4906" max="5123" width="10.1796875" style="134"/>
    <col min="5124" max="5124" width="4.81640625" style="134" customWidth="1"/>
    <col min="5125" max="5125" width="21.54296875" style="134" customWidth="1"/>
    <col min="5126" max="5126" width="11" style="134" customWidth="1"/>
    <col min="5127" max="5156" width="2.81640625" style="134" customWidth="1"/>
    <col min="5157" max="5157" width="3" style="134" customWidth="1"/>
    <col min="5158" max="5158" width="5.54296875" style="134" customWidth="1"/>
    <col min="5159" max="5159" width="6" style="134" customWidth="1"/>
    <col min="5160" max="5160" width="5.81640625" style="134" customWidth="1"/>
    <col min="5161" max="5161" width="6" style="134" customWidth="1"/>
    <col min="5162" max="5379" width="10.1796875" style="134"/>
    <col min="5380" max="5380" width="4.81640625" style="134" customWidth="1"/>
    <col min="5381" max="5381" width="21.54296875" style="134" customWidth="1"/>
    <col min="5382" max="5382" width="11" style="134" customWidth="1"/>
    <col min="5383" max="5412" width="2.81640625" style="134" customWidth="1"/>
    <col min="5413" max="5413" width="3" style="134" customWidth="1"/>
    <col min="5414" max="5414" width="5.54296875" style="134" customWidth="1"/>
    <col min="5415" max="5415" width="6" style="134" customWidth="1"/>
    <col min="5416" max="5416" width="5.81640625" style="134" customWidth="1"/>
    <col min="5417" max="5417" width="6" style="134" customWidth="1"/>
    <col min="5418" max="5635" width="10.1796875" style="134"/>
    <col min="5636" max="5636" width="4.81640625" style="134" customWidth="1"/>
    <col min="5637" max="5637" width="21.54296875" style="134" customWidth="1"/>
    <col min="5638" max="5638" width="11" style="134" customWidth="1"/>
    <col min="5639" max="5668" width="2.81640625" style="134" customWidth="1"/>
    <col min="5669" max="5669" width="3" style="134" customWidth="1"/>
    <col min="5670" max="5670" width="5.54296875" style="134" customWidth="1"/>
    <col min="5671" max="5671" width="6" style="134" customWidth="1"/>
    <col min="5672" max="5672" width="5.81640625" style="134" customWidth="1"/>
    <col min="5673" max="5673" width="6" style="134" customWidth="1"/>
    <col min="5674" max="5891" width="10.1796875" style="134"/>
    <col min="5892" max="5892" width="4.81640625" style="134" customWidth="1"/>
    <col min="5893" max="5893" width="21.54296875" style="134" customWidth="1"/>
    <col min="5894" max="5894" width="11" style="134" customWidth="1"/>
    <col min="5895" max="5924" width="2.81640625" style="134" customWidth="1"/>
    <col min="5925" max="5925" width="3" style="134" customWidth="1"/>
    <col min="5926" max="5926" width="5.54296875" style="134" customWidth="1"/>
    <col min="5927" max="5927" width="6" style="134" customWidth="1"/>
    <col min="5928" max="5928" width="5.81640625" style="134" customWidth="1"/>
    <col min="5929" max="5929" width="6" style="134" customWidth="1"/>
    <col min="5930" max="6147" width="10.1796875" style="134"/>
    <col min="6148" max="6148" width="4.81640625" style="134" customWidth="1"/>
    <col min="6149" max="6149" width="21.54296875" style="134" customWidth="1"/>
    <col min="6150" max="6150" width="11" style="134" customWidth="1"/>
    <col min="6151" max="6180" width="2.81640625" style="134" customWidth="1"/>
    <col min="6181" max="6181" width="3" style="134" customWidth="1"/>
    <col min="6182" max="6182" width="5.54296875" style="134" customWidth="1"/>
    <col min="6183" max="6183" width="6" style="134" customWidth="1"/>
    <col min="6184" max="6184" width="5.81640625" style="134" customWidth="1"/>
    <col min="6185" max="6185" width="6" style="134" customWidth="1"/>
    <col min="6186" max="6403" width="10.1796875" style="134"/>
    <col min="6404" max="6404" width="4.81640625" style="134" customWidth="1"/>
    <col min="6405" max="6405" width="21.54296875" style="134" customWidth="1"/>
    <col min="6406" max="6406" width="11" style="134" customWidth="1"/>
    <col min="6407" max="6436" width="2.81640625" style="134" customWidth="1"/>
    <col min="6437" max="6437" width="3" style="134" customWidth="1"/>
    <col min="6438" max="6438" width="5.54296875" style="134" customWidth="1"/>
    <col min="6439" max="6439" width="6" style="134" customWidth="1"/>
    <col min="6440" max="6440" width="5.81640625" style="134" customWidth="1"/>
    <col min="6441" max="6441" width="6" style="134" customWidth="1"/>
    <col min="6442" max="6659" width="10.1796875" style="134"/>
    <col min="6660" max="6660" width="4.81640625" style="134" customWidth="1"/>
    <col min="6661" max="6661" width="21.54296875" style="134" customWidth="1"/>
    <col min="6662" max="6662" width="11" style="134" customWidth="1"/>
    <col min="6663" max="6692" width="2.81640625" style="134" customWidth="1"/>
    <col min="6693" max="6693" width="3" style="134" customWidth="1"/>
    <col min="6694" max="6694" width="5.54296875" style="134" customWidth="1"/>
    <col min="6695" max="6695" width="6" style="134" customWidth="1"/>
    <col min="6696" max="6696" width="5.81640625" style="134" customWidth="1"/>
    <col min="6697" max="6697" width="6" style="134" customWidth="1"/>
    <col min="6698" max="6915" width="10.1796875" style="134"/>
    <col min="6916" max="6916" width="4.81640625" style="134" customWidth="1"/>
    <col min="6917" max="6917" width="21.54296875" style="134" customWidth="1"/>
    <col min="6918" max="6918" width="11" style="134" customWidth="1"/>
    <col min="6919" max="6948" width="2.81640625" style="134" customWidth="1"/>
    <col min="6949" max="6949" width="3" style="134" customWidth="1"/>
    <col min="6950" max="6950" width="5.54296875" style="134" customWidth="1"/>
    <col min="6951" max="6951" width="6" style="134" customWidth="1"/>
    <col min="6952" max="6952" width="5.81640625" style="134" customWidth="1"/>
    <col min="6953" max="6953" width="6" style="134" customWidth="1"/>
    <col min="6954" max="7171" width="10.1796875" style="134"/>
    <col min="7172" max="7172" width="4.81640625" style="134" customWidth="1"/>
    <col min="7173" max="7173" width="21.54296875" style="134" customWidth="1"/>
    <col min="7174" max="7174" width="11" style="134" customWidth="1"/>
    <col min="7175" max="7204" width="2.81640625" style="134" customWidth="1"/>
    <col min="7205" max="7205" width="3" style="134" customWidth="1"/>
    <col min="7206" max="7206" width="5.54296875" style="134" customWidth="1"/>
    <col min="7207" max="7207" width="6" style="134" customWidth="1"/>
    <col min="7208" max="7208" width="5.81640625" style="134" customWidth="1"/>
    <col min="7209" max="7209" width="6" style="134" customWidth="1"/>
    <col min="7210" max="7427" width="10.1796875" style="134"/>
    <col min="7428" max="7428" width="4.81640625" style="134" customWidth="1"/>
    <col min="7429" max="7429" width="21.54296875" style="134" customWidth="1"/>
    <col min="7430" max="7430" width="11" style="134" customWidth="1"/>
    <col min="7431" max="7460" width="2.81640625" style="134" customWidth="1"/>
    <col min="7461" max="7461" width="3" style="134" customWidth="1"/>
    <col min="7462" max="7462" width="5.54296875" style="134" customWidth="1"/>
    <col min="7463" max="7463" width="6" style="134" customWidth="1"/>
    <col min="7464" max="7464" width="5.81640625" style="134" customWidth="1"/>
    <col min="7465" max="7465" width="6" style="134" customWidth="1"/>
    <col min="7466" max="7683" width="10.1796875" style="134"/>
    <col min="7684" max="7684" width="4.81640625" style="134" customWidth="1"/>
    <col min="7685" max="7685" width="21.54296875" style="134" customWidth="1"/>
    <col min="7686" max="7686" width="11" style="134" customWidth="1"/>
    <col min="7687" max="7716" width="2.81640625" style="134" customWidth="1"/>
    <col min="7717" max="7717" width="3" style="134" customWidth="1"/>
    <col min="7718" max="7718" width="5.54296875" style="134" customWidth="1"/>
    <col min="7719" max="7719" width="6" style="134" customWidth="1"/>
    <col min="7720" max="7720" width="5.81640625" style="134" customWidth="1"/>
    <col min="7721" max="7721" width="6" style="134" customWidth="1"/>
    <col min="7722" max="7939" width="10.1796875" style="134"/>
    <col min="7940" max="7940" width="4.81640625" style="134" customWidth="1"/>
    <col min="7941" max="7941" width="21.54296875" style="134" customWidth="1"/>
    <col min="7942" max="7942" width="11" style="134" customWidth="1"/>
    <col min="7943" max="7972" width="2.81640625" style="134" customWidth="1"/>
    <col min="7973" max="7973" width="3" style="134" customWidth="1"/>
    <col min="7974" max="7974" width="5.54296875" style="134" customWidth="1"/>
    <col min="7975" max="7975" width="6" style="134" customWidth="1"/>
    <col min="7976" max="7976" width="5.81640625" style="134" customWidth="1"/>
    <col min="7977" max="7977" width="6" style="134" customWidth="1"/>
    <col min="7978" max="8195" width="10.1796875" style="134"/>
    <col min="8196" max="8196" width="4.81640625" style="134" customWidth="1"/>
    <col min="8197" max="8197" width="21.54296875" style="134" customWidth="1"/>
    <col min="8198" max="8198" width="11" style="134" customWidth="1"/>
    <col min="8199" max="8228" width="2.81640625" style="134" customWidth="1"/>
    <col min="8229" max="8229" width="3" style="134" customWidth="1"/>
    <col min="8230" max="8230" width="5.54296875" style="134" customWidth="1"/>
    <col min="8231" max="8231" width="6" style="134" customWidth="1"/>
    <col min="8232" max="8232" width="5.81640625" style="134" customWidth="1"/>
    <col min="8233" max="8233" width="6" style="134" customWidth="1"/>
    <col min="8234" max="8451" width="10.1796875" style="134"/>
    <col min="8452" max="8452" width="4.81640625" style="134" customWidth="1"/>
    <col min="8453" max="8453" width="21.54296875" style="134" customWidth="1"/>
    <col min="8454" max="8454" width="11" style="134" customWidth="1"/>
    <col min="8455" max="8484" width="2.81640625" style="134" customWidth="1"/>
    <col min="8485" max="8485" width="3" style="134" customWidth="1"/>
    <col min="8486" max="8486" width="5.54296875" style="134" customWidth="1"/>
    <col min="8487" max="8487" width="6" style="134" customWidth="1"/>
    <col min="8488" max="8488" width="5.81640625" style="134" customWidth="1"/>
    <col min="8489" max="8489" width="6" style="134" customWidth="1"/>
    <col min="8490" max="8707" width="10.1796875" style="134"/>
    <col min="8708" max="8708" width="4.81640625" style="134" customWidth="1"/>
    <col min="8709" max="8709" width="21.54296875" style="134" customWidth="1"/>
    <col min="8710" max="8710" width="11" style="134" customWidth="1"/>
    <col min="8711" max="8740" width="2.81640625" style="134" customWidth="1"/>
    <col min="8741" max="8741" width="3" style="134" customWidth="1"/>
    <col min="8742" max="8742" width="5.54296875" style="134" customWidth="1"/>
    <col min="8743" max="8743" width="6" style="134" customWidth="1"/>
    <col min="8744" max="8744" width="5.81640625" style="134" customWidth="1"/>
    <col min="8745" max="8745" width="6" style="134" customWidth="1"/>
    <col min="8746" max="8963" width="10.1796875" style="134"/>
    <col min="8964" max="8964" width="4.81640625" style="134" customWidth="1"/>
    <col min="8965" max="8965" width="21.54296875" style="134" customWidth="1"/>
    <col min="8966" max="8966" width="11" style="134" customWidth="1"/>
    <col min="8967" max="8996" width="2.81640625" style="134" customWidth="1"/>
    <col min="8997" max="8997" width="3" style="134" customWidth="1"/>
    <col min="8998" max="8998" width="5.54296875" style="134" customWidth="1"/>
    <col min="8999" max="8999" width="6" style="134" customWidth="1"/>
    <col min="9000" max="9000" width="5.81640625" style="134" customWidth="1"/>
    <col min="9001" max="9001" width="6" style="134" customWidth="1"/>
    <col min="9002" max="9219" width="10.1796875" style="134"/>
    <col min="9220" max="9220" width="4.81640625" style="134" customWidth="1"/>
    <col min="9221" max="9221" width="21.54296875" style="134" customWidth="1"/>
    <col min="9222" max="9222" width="11" style="134" customWidth="1"/>
    <col min="9223" max="9252" width="2.81640625" style="134" customWidth="1"/>
    <col min="9253" max="9253" width="3" style="134" customWidth="1"/>
    <col min="9254" max="9254" width="5.54296875" style="134" customWidth="1"/>
    <col min="9255" max="9255" width="6" style="134" customWidth="1"/>
    <col min="9256" max="9256" width="5.81640625" style="134" customWidth="1"/>
    <col min="9257" max="9257" width="6" style="134" customWidth="1"/>
    <col min="9258" max="9475" width="10.1796875" style="134"/>
    <col min="9476" max="9476" width="4.81640625" style="134" customWidth="1"/>
    <col min="9477" max="9477" width="21.54296875" style="134" customWidth="1"/>
    <col min="9478" max="9478" width="11" style="134" customWidth="1"/>
    <col min="9479" max="9508" width="2.81640625" style="134" customWidth="1"/>
    <col min="9509" max="9509" width="3" style="134" customWidth="1"/>
    <col min="9510" max="9510" width="5.54296875" style="134" customWidth="1"/>
    <col min="9511" max="9511" width="6" style="134" customWidth="1"/>
    <col min="9512" max="9512" width="5.81640625" style="134" customWidth="1"/>
    <col min="9513" max="9513" width="6" style="134" customWidth="1"/>
    <col min="9514" max="9731" width="10.1796875" style="134"/>
    <col min="9732" max="9732" width="4.81640625" style="134" customWidth="1"/>
    <col min="9733" max="9733" width="21.54296875" style="134" customWidth="1"/>
    <col min="9734" max="9734" width="11" style="134" customWidth="1"/>
    <col min="9735" max="9764" width="2.81640625" style="134" customWidth="1"/>
    <col min="9765" max="9765" width="3" style="134" customWidth="1"/>
    <col min="9766" max="9766" width="5.54296875" style="134" customWidth="1"/>
    <col min="9767" max="9767" width="6" style="134" customWidth="1"/>
    <col min="9768" max="9768" width="5.81640625" style="134" customWidth="1"/>
    <col min="9769" max="9769" width="6" style="134" customWidth="1"/>
    <col min="9770" max="9987" width="10.1796875" style="134"/>
    <col min="9988" max="9988" width="4.81640625" style="134" customWidth="1"/>
    <col min="9989" max="9989" width="21.54296875" style="134" customWidth="1"/>
    <col min="9990" max="9990" width="11" style="134" customWidth="1"/>
    <col min="9991" max="10020" width="2.81640625" style="134" customWidth="1"/>
    <col min="10021" max="10021" width="3" style="134" customWidth="1"/>
    <col min="10022" max="10022" width="5.54296875" style="134" customWidth="1"/>
    <col min="10023" max="10023" width="6" style="134" customWidth="1"/>
    <col min="10024" max="10024" width="5.81640625" style="134" customWidth="1"/>
    <col min="10025" max="10025" width="6" style="134" customWidth="1"/>
    <col min="10026" max="10243" width="10.1796875" style="134"/>
    <col min="10244" max="10244" width="4.81640625" style="134" customWidth="1"/>
    <col min="10245" max="10245" width="21.54296875" style="134" customWidth="1"/>
    <col min="10246" max="10246" width="11" style="134" customWidth="1"/>
    <col min="10247" max="10276" width="2.81640625" style="134" customWidth="1"/>
    <col min="10277" max="10277" width="3" style="134" customWidth="1"/>
    <col min="10278" max="10278" width="5.54296875" style="134" customWidth="1"/>
    <col min="10279" max="10279" width="6" style="134" customWidth="1"/>
    <col min="10280" max="10280" width="5.81640625" style="134" customWidth="1"/>
    <col min="10281" max="10281" width="6" style="134" customWidth="1"/>
    <col min="10282" max="10499" width="10.1796875" style="134"/>
    <col min="10500" max="10500" width="4.81640625" style="134" customWidth="1"/>
    <col min="10501" max="10501" width="21.54296875" style="134" customWidth="1"/>
    <col min="10502" max="10502" width="11" style="134" customWidth="1"/>
    <col min="10503" max="10532" width="2.81640625" style="134" customWidth="1"/>
    <col min="10533" max="10533" width="3" style="134" customWidth="1"/>
    <col min="10534" max="10534" width="5.54296875" style="134" customWidth="1"/>
    <col min="10535" max="10535" width="6" style="134" customWidth="1"/>
    <col min="10536" max="10536" width="5.81640625" style="134" customWidth="1"/>
    <col min="10537" max="10537" width="6" style="134" customWidth="1"/>
    <col min="10538" max="10755" width="10.1796875" style="134"/>
    <col min="10756" max="10756" width="4.81640625" style="134" customWidth="1"/>
    <col min="10757" max="10757" width="21.54296875" style="134" customWidth="1"/>
    <col min="10758" max="10758" width="11" style="134" customWidth="1"/>
    <col min="10759" max="10788" width="2.81640625" style="134" customWidth="1"/>
    <col min="10789" max="10789" width="3" style="134" customWidth="1"/>
    <col min="10790" max="10790" width="5.54296875" style="134" customWidth="1"/>
    <col min="10791" max="10791" width="6" style="134" customWidth="1"/>
    <col min="10792" max="10792" width="5.81640625" style="134" customWidth="1"/>
    <col min="10793" max="10793" width="6" style="134" customWidth="1"/>
    <col min="10794" max="11011" width="10.1796875" style="134"/>
    <col min="11012" max="11012" width="4.81640625" style="134" customWidth="1"/>
    <col min="11013" max="11013" width="21.54296875" style="134" customWidth="1"/>
    <col min="11014" max="11014" width="11" style="134" customWidth="1"/>
    <col min="11015" max="11044" width="2.81640625" style="134" customWidth="1"/>
    <col min="11045" max="11045" width="3" style="134" customWidth="1"/>
    <col min="11046" max="11046" width="5.54296875" style="134" customWidth="1"/>
    <col min="11047" max="11047" width="6" style="134" customWidth="1"/>
    <col min="11048" max="11048" width="5.81640625" style="134" customWidth="1"/>
    <col min="11049" max="11049" width="6" style="134" customWidth="1"/>
    <col min="11050" max="11267" width="10.1796875" style="134"/>
    <col min="11268" max="11268" width="4.81640625" style="134" customWidth="1"/>
    <col min="11269" max="11269" width="21.54296875" style="134" customWidth="1"/>
    <col min="11270" max="11270" width="11" style="134" customWidth="1"/>
    <col min="11271" max="11300" width="2.81640625" style="134" customWidth="1"/>
    <col min="11301" max="11301" width="3" style="134" customWidth="1"/>
    <col min="11302" max="11302" width="5.54296875" style="134" customWidth="1"/>
    <col min="11303" max="11303" width="6" style="134" customWidth="1"/>
    <col min="11304" max="11304" width="5.81640625" style="134" customWidth="1"/>
    <col min="11305" max="11305" width="6" style="134" customWidth="1"/>
    <col min="11306" max="11523" width="10.1796875" style="134"/>
    <col min="11524" max="11524" width="4.81640625" style="134" customWidth="1"/>
    <col min="11525" max="11525" width="21.54296875" style="134" customWidth="1"/>
    <col min="11526" max="11526" width="11" style="134" customWidth="1"/>
    <col min="11527" max="11556" width="2.81640625" style="134" customWidth="1"/>
    <col min="11557" max="11557" width="3" style="134" customWidth="1"/>
    <col min="11558" max="11558" width="5.54296875" style="134" customWidth="1"/>
    <col min="11559" max="11559" width="6" style="134" customWidth="1"/>
    <col min="11560" max="11560" width="5.81640625" style="134" customWidth="1"/>
    <col min="11561" max="11561" width="6" style="134" customWidth="1"/>
    <col min="11562" max="11779" width="10.1796875" style="134"/>
    <col min="11780" max="11780" width="4.81640625" style="134" customWidth="1"/>
    <col min="11781" max="11781" width="21.54296875" style="134" customWidth="1"/>
    <col min="11782" max="11782" width="11" style="134" customWidth="1"/>
    <col min="11783" max="11812" width="2.81640625" style="134" customWidth="1"/>
    <col min="11813" max="11813" width="3" style="134" customWidth="1"/>
    <col min="11814" max="11814" width="5.54296875" style="134" customWidth="1"/>
    <col min="11815" max="11815" width="6" style="134" customWidth="1"/>
    <col min="11816" max="11816" width="5.81640625" style="134" customWidth="1"/>
    <col min="11817" max="11817" width="6" style="134" customWidth="1"/>
    <col min="11818" max="12035" width="10.1796875" style="134"/>
    <col min="12036" max="12036" width="4.81640625" style="134" customWidth="1"/>
    <col min="12037" max="12037" width="21.54296875" style="134" customWidth="1"/>
    <col min="12038" max="12038" width="11" style="134" customWidth="1"/>
    <col min="12039" max="12068" width="2.81640625" style="134" customWidth="1"/>
    <col min="12069" max="12069" width="3" style="134" customWidth="1"/>
    <col min="12070" max="12070" width="5.54296875" style="134" customWidth="1"/>
    <col min="12071" max="12071" width="6" style="134" customWidth="1"/>
    <col min="12072" max="12072" width="5.81640625" style="134" customWidth="1"/>
    <col min="12073" max="12073" width="6" style="134" customWidth="1"/>
    <col min="12074" max="12291" width="10.1796875" style="134"/>
    <col min="12292" max="12292" width="4.81640625" style="134" customWidth="1"/>
    <col min="12293" max="12293" width="21.54296875" style="134" customWidth="1"/>
    <col min="12294" max="12294" width="11" style="134" customWidth="1"/>
    <col min="12295" max="12324" width="2.81640625" style="134" customWidth="1"/>
    <col min="12325" max="12325" width="3" style="134" customWidth="1"/>
    <col min="12326" max="12326" width="5.54296875" style="134" customWidth="1"/>
    <col min="12327" max="12327" width="6" style="134" customWidth="1"/>
    <col min="12328" max="12328" width="5.81640625" style="134" customWidth="1"/>
    <col min="12329" max="12329" width="6" style="134" customWidth="1"/>
    <col min="12330" max="12547" width="10.1796875" style="134"/>
    <col min="12548" max="12548" width="4.81640625" style="134" customWidth="1"/>
    <col min="12549" max="12549" width="21.54296875" style="134" customWidth="1"/>
    <col min="12550" max="12550" width="11" style="134" customWidth="1"/>
    <col min="12551" max="12580" width="2.81640625" style="134" customWidth="1"/>
    <col min="12581" max="12581" width="3" style="134" customWidth="1"/>
    <col min="12582" max="12582" width="5.54296875" style="134" customWidth="1"/>
    <col min="12583" max="12583" width="6" style="134" customWidth="1"/>
    <col min="12584" max="12584" width="5.81640625" style="134" customWidth="1"/>
    <col min="12585" max="12585" width="6" style="134" customWidth="1"/>
    <col min="12586" max="12803" width="10.1796875" style="134"/>
    <col min="12804" max="12804" width="4.81640625" style="134" customWidth="1"/>
    <col min="12805" max="12805" width="21.54296875" style="134" customWidth="1"/>
    <col min="12806" max="12806" width="11" style="134" customWidth="1"/>
    <col min="12807" max="12836" width="2.81640625" style="134" customWidth="1"/>
    <col min="12837" max="12837" width="3" style="134" customWidth="1"/>
    <col min="12838" max="12838" width="5.54296875" style="134" customWidth="1"/>
    <col min="12839" max="12839" width="6" style="134" customWidth="1"/>
    <col min="12840" max="12840" width="5.81640625" style="134" customWidth="1"/>
    <col min="12841" max="12841" width="6" style="134" customWidth="1"/>
    <col min="12842" max="13059" width="10.1796875" style="134"/>
    <col min="13060" max="13060" width="4.81640625" style="134" customWidth="1"/>
    <col min="13061" max="13061" width="21.54296875" style="134" customWidth="1"/>
    <col min="13062" max="13062" width="11" style="134" customWidth="1"/>
    <col min="13063" max="13092" width="2.81640625" style="134" customWidth="1"/>
    <col min="13093" max="13093" width="3" style="134" customWidth="1"/>
    <col min="13094" max="13094" width="5.54296875" style="134" customWidth="1"/>
    <col min="13095" max="13095" width="6" style="134" customWidth="1"/>
    <col min="13096" max="13096" width="5.81640625" style="134" customWidth="1"/>
    <col min="13097" max="13097" width="6" style="134" customWidth="1"/>
    <col min="13098" max="13315" width="10.1796875" style="134"/>
    <col min="13316" max="13316" width="4.81640625" style="134" customWidth="1"/>
    <col min="13317" max="13317" width="21.54296875" style="134" customWidth="1"/>
    <col min="13318" max="13318" width="11" style="134" customWidth="1"/>
    <col min="13319" max="13348" width="2.81640625" style="134" customWidth="1"/>
    <col min="13349" max="13349" width="3" style="134" customWidth="1"/>
    <col min="13350" max="13350" width="5.54296875" style="134" customWidth="1"/>
    <col min="13351" max="13351" width="6" style="134" customWidth="1"/>
    <col min="13352" max="13352" width="5.81640625" style="134" customWidth="1"/>
    <col min="13353" max="13353" width="6" style="134" customWidth="1"/>
    <col min="13354" max="13571" width="10.1796875" style="134"/>
    <col min="13572" max="13572" width="4.81640625" style="134" customWidth="1"/>
    <col min="13573" max="13573" width="21.54296875" style="134" customWidth="1"/>
    <col min="13574" max="13574" width="11" style="134" customWidth="1"/>
    <col min="13575" max="13604" width="2.81640625" style="134" customWidth="1"/>
    <col min="13605" max="13605" width="3" style="134" customWidth="1"/>
    <col min="13606" max="13606" width="5.54296875" style="134" customWidth="1"/>
    <col min="13607" max="13607" width="6" style="134" customWidth="1"/>
    <col min="13608" max="13608" width="5.81640625" style="134" customWidth="1"/>
    <col min="13609" max="13609" width="6" style="134" customWidth="1"/>
    <col min="13610" max="13827" width="10.1796875" style="134"/>
    <col min="13828" max="13828" width="4.81640625" style="134" customWidth="1"/>
    <col min="13829" max="13829" width="21.54296875" style="134" customWidth="1"/>
    <col min="13830" max="13830" width="11" style="134" customWidth="1"/>
    <col min="13831" max="13860" width="2.81640625" style="134" customWidth="1"/>
    <col min="13861" max="13861" width="3" style="134" customWidth="1"/>
    <col min="13862" max="13862" width="5.54296875" style="134" customWidth="1"/>
    <col min="13863" max="13863" width="6" style="134" customWidth="1"/>
    <col min="13864" max="13864" width="5.81640625" style="134" customWidth="1"/>
    <col min="13865" max="13865" width="6" style="134" customWidth="1"/>
    <col min="13866" max="14083" width="10.1796875" style="134"/>
    <col min="14084" max="14084" width="4.81640625" style="134" customWidth="1"/>
    <col min="14085" max="14085" width="21.54296875" style="134" customWidth="1"/>
    <col min="14086" max="14086" width="11" style="134" customWidth="1"/>
    <col min="14087" max="14116" width="2.81640625" style="134" customWidth="1"/>
    <col min="14117" max="14117" width="3" style="134" customWidth="1"/>
    <col min="14118" max="14118" width="5.54296875" style="134" customWidth="1"/>
    <col min="14119" max="14119" width="6" style="134" customWidth="1"/>
    <col min="14120" max="14120" width="5.81640625" style="134" customWidth="1"/>
    <col min="14121" max="14121" width="6" style="134" customWidth="1"/>
    <col min="14122" max="14339" width="10.1796875" style="134"/>
    <col min="14340" max="14340" width="4.81640625" style="134" customWidth="1"/>
    <col min="14341" max="14341" width="21.54296875" style="134" customWidth="1"/>
    <col min="14342" max="14342" width="11" style="134" customWidth="1"/>
    <col min="14343" max="14372" width="2.81640625" style="134" customWidth="1"/>
    <col min="14373" max="14373" width="3" style="134" customWidth="1"/>
    <col min="14374" max="14374" width="5.54296875" style="134" customWidth="1"/>
    <col min="14375" max="14375" width="6" style="134" customWidth="1"/>
    <col min="14376" max="14376" width="5.81640625" style="134" customWidth="1"/>
    <col min="14377" max="14377" width="6" style="134" customWidth="1"/>
    <col min="14378" max="14595" width="10.1796875" style="134"/>
    <col min="14596" max="14596" width="4.81640625" style="134" customWidth="1"/>
    <col min="14597" max="14597" width="21.54296875" style="134" customWidth="1"/>
    <col min="14598" max="14598" width="11" style="134" customWidth="1"/>
    <col min="14599" max="14628" width="2.81640625" style="134" customWidth="1"/>
    <col min="14629" max="14629" width="3" style="134" customWidth="1"/>
    <col min="14630" max="14630" width="5.54296875" style="134" customWidth="1"/>
    <col min="14631" max="14631" width="6" style="134" customWidth="1"/>
    <col min="14632" max="14632" width="5.81640625" style="134" customWidth="1"/>
    <col min="14633" max="14633" width="6" style="134" customWidth="1"/>
    <col min="14634" max="14851" width="10.1796875" style="134"/>
    <col min="14852" max="14852" width="4.81640625" style="134" customWidth="1"/>
    <col min="14853" max="14853" width="21.54296875" style="134" customWidth="1"/>
    <col min="14854" max="14854" width="11" style="134" customWidth="1"/>
    <col min="14855" max="14884" width="2.81640625" style="134" customWidth="1"/>
    <col min="14885" max="14885" width="3" style="134" customWidth="1"/>
    <col min="14886" max="14886" width="5.54296875" style="134" customWidth="1"/>
    <col min="14887" max="14887" width="6" style="134" customWidth="1"/>
    <col min="14888" max="14888" width="5.81640625" style="134" customWidth="1"/>
    <col min="14889" max="14889" width="6" style="134" customWidth="1"/>
    <col min="14890" max="15107" width="10.1796875" style="134"/>
    <col min="15108" max="15108" width="4.81640625" style="134" customWidth="1"/>
    <col min="15109" max="15109" width="21.54296875" style="134" customWidth="1"/>
    <col min="15110" max="15110" width="11" style="134" customWidth="1"/>
    <col min="15111" max="15140" width="2.81640625" style="134" customWidth="1"/>
    <col min="15141" max="15141" width="3" style="134" customWidth="1"/>
    <col min="15142" max="15142" width="5.54296875" style="134" customWidth="1"/>
    <col min="15143" max="15143" width="6" style="134" customWidth="1"/>
    <col min="15144" max="15144" width="5.81640625" style="134" customWidth="1"/>
    <col min="15145" max="15145" width="6" style="134" customWidth="1"/>
    <col min="15146" max="15363" width="10.1796875" style="134"/>
    <col min="15364" max="15364" width="4.81640625" style="134" customWidth="1"/>
    <col min="15365" max="15365" width="21.54296875" style="134" customWidth="1"/>
    <col min="15366" max="15366" width="11" style="134" customWidth="1"/>
    <col min="15367" max="15396" width="2.81640625" style="134" customWidth="1"/>
    <col min="15397" max="15397" width="3" style="134" customWidth="1"/>
    <col min="15398" max="15398" width="5.54296875" style="134" customWidth="1"/>
    <col min="15399" max="15399" width="6" style="134" customWidth="1"/>
    <col min="15400" max="15400" width="5.81640625" style="134" customWidth="1"/>
    <col min="15401" max="15401" width="6" style="134" customWidth="1"/>
    <col min="15402" max="15619" width="10.1796875" style="134"/>
    <col min="15620" max="15620" width="4.81640625" style="134" customWidth="1"/>
    <col min="15621" max="15621" width="21.54296875" style="134" customWidth="1"/>
    <col min="15622" max="15622" width="11" style="134" customWidth="1"/>
    <col min="15623" max="15652" width="2.81640625" style="134" customWidth="1"/>
    <col min="15653" max="15653" width="3" style="134" customWidth="1"/>
    <col min="15654" max="15654" width="5.54296875" style="134" customWidth="1"/>
    <col min="15655" max="15655" width="6" style="134" customWidth="1"/>
    <col min="15656" max="15656" width="5.81640625" style="134" customWidth="1"/>
    <col min="15657" max="15657" width="6" style="134" customWidth="1"/>
    <col min="15658" max="15875" width="10.1796875" style="134"/>
    <col min="15876" max="15876" width="4.81640625" style="134" customWidth="1"/>
    <col min="15877" max="15877" width="21.54296875" style="134" customWidth="1"/>
    <col min="15878" max="15878" width="11" style="134" customWidth="1"/>
    <col min="15879" max="15908" width="2.81640625" style="134" customWidth="1"/>
    <col min="15909" max="15909" width="3" style="134" customWidth="1"/>
    <col min="15910" max="15910" width="5.54296875" style="134" customWidth="1"/>
    <col min="15911" max="15911" width="6" style="134" customWidth="1"/>
    <col min="15912" max="15912" width="5.81640625" style="134" customWidth="1"/>
    <col min="15913" max="15913" width="6" style="134" customWidth="1"/>
    <col min="15914" max="16131" width="10.1796875" style="134"/>
    <col min="16132" max="16132" width="4.81640625" style="134" customWidth="1"/>
    <col min="16133" max="16133" width="21.54296875" style="134" customWidth="1"/>
    <col min="16134" max="16134" width="11" style="134" customWidth="1"/>
    <col min="16135" max="16164" width="2.81640625" style="134" customWidth="1"/>
    <col min="16165" max="16165" width="3" style="134" customWidth="1"/>
    <col min="16166" max="16166" width="5.54296875" style="134" customWidth="1"/>
    <col min="16167" max="16167" width="6" style="134" customWidth="1"/>
    <col min="16168" max="16168" width="5.81640625" style="134" customWidth="1"/>
    <col min="16169" max="16169" width="6" style="134" customWidth="1"/>
    <col min="16170" max="16384" width="10.1796875" style="134"/>
  </cols>
  <sheetData>
    <row r="1" spans="1:41" ht="42" customHeight="1" x14ac:dyDescent="0.3">
      <c r="A1" s="132" t="s">
        <v>91</v>
      </c>
      <c r="B1" s="133" t="s">
        <v>92</v>
      </c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</row>
    <row r="2" spans="1:41" ht="29" customHeight="1" x14ac:dyDescent="0.4">
      <c r="B2" s="331" t="e" vm="1">
        <v>#VALUE!</v>
      </c>
      <c r="C2" s="331"/>
      <c r="D2" s="331"/>
      <c r="E2" s="265" t="s">
        <v>93</v>
      </c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137"/>
      <c r="AK2" s="137"/>
      <c r="AL2" s="137"/>
      <c r="AM2" s="137"/>
      <c r="AN2" s="137"/>
      <c r="AO2" s="137"/>
    </row>
    <row r="3" spans="1:41" ht="18" customHeight="1" x14ac:dyDescent="0.3">
      <c r="A3" s="138"/>
      <c r="B3" s="138"/>
      <c r="C3" s="138"/>
      <c r="D3" s="138"/>
      <c r="E3" s="139"/>
      <c r="F3" s="139"/>
      <c r="G3" s="139"/>
      <c r="H3" s="139"/>
      <c r="I3" s="139"/>
      <c r="J3" s="139"/>
      <c r="K3" s="139"/>
      <c r="L3" s="139"/>
      <c r="Q3" s="141" t="s">
        <v>94</v>
      </c>
      <c r="R3" s="141"/>
      <c r="S3" s="329">
        <v>8</v>
      </c>
      <c r="T3" s="141" t="s">
        <v>95</v>
      </c>
      <c r="U3" s="142"/>
      <c r="V3" s="266">
        <v>2024</v>
      </c>
      <c r="W3" s="266"/>
      <c r="X3" s="139"/>
      <c r="Y3" s="139"/>
      <c r="Z3" s="139"/>
      <c r="AA3" s="139"/>
      <c r="AB3" s="267"/>
      <c r="AC3" s="267"/>
      <c r="AD3" s="267"/>
      <c r="AE3" s="267"/>
      <c r="AF3" s="267"/>
      <c r="AG3" s="139"/>
      <c r="AH3" s="139"/>
      <c r="AI3" s="139"/>
      <c r="AJ3" s="138"/>
      <c r="AK3" s="138"/>
      <c r="AL3" s="138"/>
      <c r="AM3" s="138"/>
      <c r="AN3" s="138"/>
      <c r="AO3" s="138"/>
    </row>
    <row r="4" spans="1:41" ht="14" hidden="1" x14ac:dyDescent="0.3">
      <c r="A4" s="138"/>
      <c r="B4" s="138"/>
      <c r="C4" s="144">
        <f>DATE(V3,S3,1)</f>
        <v>45505</v>
      </c>
      <c r="D4" s="138"/>
      <c r="E4" s="139"/>
      <c r="F4" s="139"/>
      <c r="G4" s="139"/>
      <c r="H4" s="139"/>
      <c r="I4" s="139"/>
      <c r="J4" s="139"/>
      <c r="K4" s="139"/>
      <c r="L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43"/>
      <c r="AC4" s="143"/>
      <c r="AD4" s="143"/>
      <c r="AE4" s="143"/>
      <c r="AF4" s="143"/>
      <c r="AG4" s="139"/>
      <c r="AH4" s="139"/>
      <c r="AI4" s="139"/>
      <c r="AJ4" s="138"/>
      <c r="AK4" s="138"/>
      <c r="AL4" s="138"/>
      <c r="AM4" s="138"/>
      <c r="AN4" s="138"/>
      <c r="AO4" s="138"/>
    </row>
    <row r="5" spans="1:41" ht="11.5" customHeight="1" thickBot="1" x14ac:dyDescent="0.35">
      <c r="A5" s="136"/>
      <c r="B5" s="136"/>
      <c r="C5" s="132"/>
      <c r="D5" s="136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36"/>
      <c r="AK5" s="136"/>
      <c r="AL5" s="136"/>
      <c r="AM5" s="136"/>
      <c r="AN5" s="136"/>
      <c r="AO5" s="136"/>
    </row>
    <row r="6" spans="1:41" s="146" customFormat="1" ht="16.5" customHeight="1" x14ac:dyDescent="0.35">
      <c r="A6" s="284" t="s">
        <v>96</v>
      </c>
      <c r="B6" s="287" t="s">
        <v>1</v>
      </c>
      <c r="C6" s="290" t="s">
        <v>2</v>
      </c>
      <c r="D6" s="293" t="s">
        <v>50</v>
      </c>
      <c r="E6" s="269" t="s">
        <v>97</v>
      </c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>
        <f>31-COUNTIF(E7:AI7,"CN")-COUNTIF(E7:AI7,"K")</f>
        <v>27</v>
      </c>
      <c r="AI6" s="271"/>
      <c r="AJ6" s="281" t="s">
        <v>98</v>
      </c>
      <c r="AK6" s="281"/>
      <c r="AL6" s="281"/>
      <c r="AM6" s="281"/>
      <c r="AN6" s="282"/>
      <c r="AO6" s="283"/>
    </row>
    <row r="7" spans="1:41" s="146" customFormat="1" ht="28" customHeight="1" x14ac:dyDescent="0.35">
      <c r="A7" s="285"/>
      <c r="B7" s="288"/>
      <c r="C7" s="291"/>
      <c r="D7" s="294"/>
      <c r="E7" s="147" t="str">
        <f>CHOOSE(WEEKDAY(E8,1),"CN","T2","T3","T4","T5","T6","T7")</f>
        <v>T5</v>
      </c>
      <c r="F7" s="41" t="str">
        <f t="shared" ref="F7:AF7" si="0">CHOOSE(WEEKDAY(F8,1),"CN","T2","T3","T4","T5","T6","T7")</f>
        <v>T6</v>
      </c>
      <c r="G7" s="41" t="str">
        <f t="shared" si="0"/>
        <v>T7</v>
      </c>
      <c r="H7" s="41" t="str">
        <f t="shared" si="0"/>
        <v>CN</v>
      </c>
      <c r="I7" s="41" t="str">
        <f t="shared" si="0"/>
        <v>T2</v>
      </c>
      <c r="J7" s="41" t="str">
        <f t="shared" si="0"/>
        <v>T3</v>
      </c>
      <c r="K7" s="41" t="str">
        <f t="shared" si="0"/>
        <v>T4</v>
      </c>
      <c r="L7" s="41" t="str">
        <f t="shared" si="0"/>
        <v>T5</v>
      </c>
      <c r="M7" s="41" t="str">
        <f t="shared" si="0"/>
        <v>T6</v>
      </c>
      <c r="N7" s="41" t="str">
        <f t="shared" si="0"/>
        <v>T7</v>
      </c>
      <c r="O7" s="41" t="str">
        <f t="shared" si="0"/>
        <v>CN</v>
      </c>
      <c r="P7" s="41" t="str">
        <f t="shared" si="0"/>
        <v>T2</v>
      </c>
      <c r="Q7" s="41" t="str">
        <f t="shared" si="0"/>
        <v>T3</v>
      </c>
      <c r="R7" s="41" t="str">
        <f t="shared" si="0"/>
        <v>T4</v>
      </c>
      <c r="S7" s="41" t="str">
        <f t="shared" si="0"/>
        <v>T5</v>
      </c>
      <c r="T7" s="41" t="str">
        <f t="shared" si="0"/>
        <v>T6</v>
      </c>
      <c r="U7" s="41" t="str">
        <f t="shared" si="0"/>
        <v>T7</v>
      </c>
      <c r="V7" s="41" t="str">
        <f t="shared" si="0"/>
        <v>CN</v>
      </c>
      <c r="W7" s="41" t="str">
        <f t="shared" si="0"/>
        <v>T2</v>
      </c>
      <c r="X7" s="41" t="str">
        <f t="shared" si="0"/>
        <v>T3</v>
      </c>
      <c r="Y7" s="41" t="str">
        <f t="shared" si="0"/>
        <v>T4</v>
      </c>
      <c r="Z7" s="41" t="str">
        <f t="shared" si="0"/>
        <v>T5</v>
      </c>
      <c r="AA7" s="41" t="str">
        <f t="shared" si="0"/>
        <v>T6</v>
      </c>
      <c r="AB7" s="41" t="str">
        <f t="shared" si="0"/>
        <v>T7</v>
      </c>
      <c r="AC7" s="41" t="str">
        <f t="shared" si="0"/>
        <v>CN</v>
      </c>
      <c r="AD7" s="41" t="str">
        <f t="shared" si="0"/>
        <v>T2</v>
      </c>
      <c r="AE7" s="41" t="str">
        <f t="shared" si="0"/>
        <v>T3</v>
      </c>
      <c r="AF7" s="41" t="str">
        <f t="shared" si="0"/>
        <v>T4</v>
      </c>
      <c r="AG7" s="41" t="str">
        <f>IFERROR(CHOOSE(WEEKDAY(AG8,1),"CN","T2","T3","T4","T5","T6","T7"),"K")</f>
        <v>T5</v>
      </c>
      <c r="AH7" s="41" t="str">
        <f>IFERROR(CHOOSE(WEEKDAY(AH8,1),"CN","T2","T3","T4","T5","T6","T7"),"K")</f>
        <v>T6</v>
      </c>
      <c r="AI7" s="41" t="str">
        <f>IFERROR(CHOOSE(WEEKDAY(AI8,1),"CN","T2","T3","T4","T5","T6","T7"),"K")</f>
        <v>T7</v>
      </c>
      <c r="AJ7" s="298" t="s">
        <v>99</v>
      </c>
      <c r="AK7" s="298" t="s">
        <v>100</v>
      </c>
      <c r="AL7" s="301" t="s">
        <v>101</v>
      </c>
      <c r="AM7" s="298" t="s">
        <v>102</v>
      </c>
      <c r="AN7" s="296" t="s">
        <v>103</v>
      </c>
      <c r="AO7" s="263" t="s">
        <v>104</v>
      </c>
    </row>
    <row r="8" spans="1:41" s="146" customFormat="1" ht="28" customHeight="1" thickBot="1" x14ac:dyDescent="0.4">
      <c r="A8" s="286"/>
      <c r="B8" s="289"/>
      <c r="C8" s="292"/>
      <c r="D8" s="295"/>
      <c r="E8" s="148">
        <f>C4</f>
        <v>45505</v>
      </c>
      <c r="F8" s="149">
        <f>E8+1</f>
        <v>45506</v>
      </c>
      <c r="G8" s="149">
        <f t="shared" ref="G8:AE8" si="1">F8+1</f>
        <v>45507</v>
      </c>
      <c r="H8" s="149">
        <f t="shared" si="1"/>
        <v>45508</v>
      </c>
      <c r="I8" s="149">
        <f t="shared" si="1"/>
        <v>45509</v>
      </c>
      <c r="J8" s="149">
        <f t="shared" si="1"/>
        <v>45510</v>
      </c>
      <c r="K8" s="149">
        <f t="shared" si="1"/>
        <v>45511</v>
      </c>
      <c r="L8" s="149">
        <f t="shared" si="1"/>
        <v>45512</v>
      </c>
      <c r="M8" s="149">
        <f t="shared" si="1"/>
        <v>45513</v>
      </c>
      <c r="N8" s="149">
        <f t="shared" si="1"/>
        <v>45514</v>
      </c>
      <c r="O8" s="149">
        <f t="shared" si="1"/>
        <v>45515</v>
      </c>
      <c r="P8" s="149">
        <f t="shared" si="1"/>
        <v>45516</v>
      </c>
      <c r="Q8" s="149">
        <f t="shared" si="1"/>
        <v>45517</v>
      </c>
      <c r="R8" s="149">
        <f t="shared" si="1"/>
        <v>45518</v>
      </c>
      <c r="S8" s="149">
        <f t="shared" si="1"/>
        <v>45519</v>
      </c>
      <c r="T8" s="149">
        <f t="shared" si="1"/>
        <v>45520</v>
      </c>
      <c r="U8" s="149">
        <f t="shared" si="1"/>
        <v>45521</v>
      </c>
      <c r="V8" s="149">
        <f t="shared" si="1"/>
        <v>45522</v>
      </c>
      <c r="W8" s="149">
        <f t="shared" si="1"/>
        <v>45523</v>
      </c>
      <c r="X8" s="149">
        <f t="shared" si="1"/>
        <v>45524</v>
      </c>
      <c r="Y8" s="149">
        <f t="shared" si="1"/>
        <v>45525</v>
      </c>
      <c r="Z8" s="149">
        <f t="shared" si="1"/>
        <v>45526</v>
      </c>
      <c r="AA8" s="149">
        <f t="shared" si="1"/>
        <v>45527</v>
      </c>
      <c r="AB8" s="149">
        <f t="shared" si="1"/>
        <v>45528</v>
      </c>
      <c r="AC8" s="149">
        <f t="shared" si="1"/>
        <v>45529</v>
      </c>
      <c r="AD8" s="149">
        <f t="shared" si="1"/>
        <v>45530</v>
      </c>
      <c r="AE8" s="149">
        <f t="shared" si="1"/>
        <v>45531</v>
      </c>
      <c r="AF8" s="149">
        <f>IFERROR(IF(MONTH(AE8+1)&gt;MONTH(AE8),"K",AE8+1),"K")</f>
        <v>45532</v>
      </c>
      <c r="AG8" s="149">
        <f>IFERROR(IF(MONTH(AF8+1)&gt;MONTH(AF8),"K",AF8+1),"K")</f>
        <v>45533</v>
      </c>
      <c r="AH8" s="149">
        <f>IFERROR(IF(MONTH(AG8+1)&gt;MONTH(AG8),"K",AG8+1),"K")</f>
        <v>45534</v>
      </c>
      <c r="AI8" s="149">
        <f>IFERROR(IF(MONTH(AH8+1)&gt;MONTH(AH8),"K",AH8+1),"K")</f>
        <v>45535</v>
      </c>
      <c r="AJ8" s="299"/>
      <c r="AK8" s="300"/>
      <c r="AL8" s="302"/>
      <c r="AM8" s="300"/>
      <c r="AN8" s="297"/>
      <c r="AO8" s="264"/>
    </row>
    <row r="9" spans="1:41" s="160" customFormat="1" ht="20" customHeight="1" thickTop="1" x14ac:dyDescent="0.3">
      <c r="A9" s="150" t="s">
        <v>13</v>
      </c>
      <c r="B9" s="151"/>
      <c r="C9" s="152" t="s">
        <v>19</v>
      </c>
      <c r="D9" s="153"/>
      <c r="E9" s="154"/>
      <c r="F9" s="151"/>
      <c r="G9" s="151"/>
      <c r="H9" s="151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6">
        <f>SUBTOTAL(9,AJ10:AJ12)</f>
        <v>64</v>
      </c>
      <c r="AK9" s="156">
        <f t="shared" ref="AK9:AO9" si="2">SUBTOTAL(9,AK10:AK12)</f>
        <v>3</v>
      </c>
      <c r="AL9" s="157">
        <f t="shared" si="2"/>
        <v>65.5</v>
      </c>
      <c r="AM9" s="156">
        <f t="shared" si="2"/>
        <v>6</v>
      </c>
      <c r="AN9" s="158">
        <f t="shared" si="2"/>
        <v>7</v>
      </c>
      <c r="AO9" s="159">
        <f t="shared" si="2"/>
        <v>71.5</v>
      </c>
    </row>
    <row r="10" spans="1:41" ht="20" customHeight="1" x14ac:dyDescent="0.3">
      <c r="A10" s="161">
        <v>1</v>
      </c>
      <c r="B10" s="162" t="s">
        <v>32</v>
      </c>
      <c r="C10" s="163" t="str">
        <f>VLOOKUP(B10,'DS NV'!$A$1:$D$11,2,0)</f>
        <v>NGUYỄN VĂN A</v>
      </c>
      <c r="D10" s="164" t="str">
        <f>VLOOKUP(B10,'DS NV'!$A$1:$D$11,3,0)</f>
        <v>Manager</v>
      </c>
      <c r="E10" s="165" t="s">
        <v>105</v>
      </c>
      <c r="F10" s="31" t="s">
        <v>105</v>
      </c>
      <c r="G10" s="31" t="s">
        <v>105</v>
      </c>
      <c r="H10" s="31"/>
      <c r="I10" s="166" t="s">
        <v>105</v>
      </c>
      <c r="J10" s="166" t="s">
        <v>105</v>
      </c>
      <c r="K10" s="166" t="s">
        <v>105</v>
      </c>
      <c r="L10" s="166" t="s">
        <v>106</v>
      </c>
      <c r="M10" s="166" t="s">
        <v>105</v>
      </c>
      <c r="N10" s="166" t="s">
        <v>105</v>
      </c>
      <c r="O10" s="166"/>
      <c r="P10" s="166" t="s">
        <v>107</v>
      </c>
      <c r="Q10" s="166" t="s">
        <v>105</v>
      </c>
      <c r="R10" s="166" t="s">
        <v>105</v>
      </c>
      <c r="S10" s="166" t="s">
        <v>105</v>
      </c>
      <c r="T10" s="166" t="s">
        <v>105</v>
      </c>
      <c r="U10" s="166" t="s">
        <v>105</v>
      </c>
      <c r="V10" s="166"/>
      <c r="W10" s="166" t="s">
        <v>105</v>
      </c>
      <c r="X10" s="166" t="s">
        <v>105</v>
      </c>
      <c r="Y10" s="166" t="s">
        <v>105</v>
      </c>
      <c r="Z10" s="166" t="s">
        <v>105</v>
      </c>
      <c r="AA10" s="166" t="s">
        <v>105</v>
      </c>
      <c r="AB10" s="166" t="s">
        <v>105</v>
      </c>
      <c r="AC10" s="166"/>
      <c r="AD10" s="166" t="s">
        <v>105</v>
      </c>
      <c r="AE10" s="166" t="s">
        <v>105</v>
      </c>
      <c r="AF10" s="166" t="s">
        <v>105</v>
      </c>
      <c r="AG10" s="166" t="s">
        <v>107</v>
      </c>
      <c r="AH10" s="166" t="s">
        <v>107</v>
      </c>
      <c r="AI10" s="166" t="s">
        <v>106</v>
      </c>
      <c r="AJ10" s="167">
        <f>COUNTIF(E10:AI10,"X")</f>
        <v>22</v>
      </c>
      <c r="AK10" s="167">
        <f>COUNTIF(E10:AI10,"X/2")</f>
        <v>2</v>
      </c>
      <c r="AL10" s="168">
        <f>AJ10+AK10/2</f>
        <v>23</v>
      </c>
      <c r="AM10" s="167">
        <f>COUNTIF(E10:AI10,"NL")+COUNTIF(E10:AI10,"NB")</f>
        <v>0</v>
      </c>
      <c r="AN10" s="169">
        <f>COUNTIF(E10:AI10,"N")</f>
        <v>3</v>
      </c>
      <c r="AO10" s="170">
        <f>AL10+AM10</f>
        <v>23</v>
      </c>
    </row>
    <row r="11" spans="1:41" ht="20" customHeight="1" x14ac:dyDescent="0.3">
      <c r="A11" s="1">
        <v>2</v>
      </c>
      <c r="B11" s="162" t="s">
        <v>33</v>
      </c>
      <c r="C11" s="163" t="str">
        <f>VLOOKUP(B11,'DS NV'!$A$1:$D$11,2,0)</f>
        <v>TRẦN THANH B</v>
      </c>
      <c r="D11" s="164" t="str">
        <f>VLOOKUP(B11,'DS NV'!$A$1:$D$11,3,0)</f>
        <v>Staff</v>
      </c>
      <c r="E11" s="165" t="s">
        <v>105</v>
      </c>
      <c r="F11" s="31" t="s">
        <v>105</v>
      </c>
      <c r="G11" s="31" t="s">
        <v>105</v>
      </c>
      <c r="H11" s="31"/>
      <c r="I11" s="166" t="s">
        <v>105</v>
      </c>
      <c r="J11" s="166" t="s">
        <v>105</v>
      </c>
      <c r="K11" s="166" t="s">
        <v>105</v>
      </c>
      <c r="L11" s="166" t="s">
        <v>106</v>
      </c>
      <c r="M11" s="166" t="s">
        <v>105</v>
      </c>
      <c r="N11" s="166" t="s">
        <v>108</v>
      </c>
      <c r="O11" s="166"/>
      <c r="P11" s="166" t="s">
        <v>107</v>
      </c>
      <c r="Q11" s="166" t="s">
        <v>105</v>
      </c>
      <c r="R11" s="166" t="s">
        <v>105</v>
      </c>
      <c r="S11" s="166" t="s">
        <v>105</v>
      </c>
      <c r="T11" s="166" t="s">
        <v>105</v>
      </c>
      <c r="U11" s="166" t="s">
        <v>105</v>
      </c>
      <c r="V11" s="166"/>
      <c r="W11" s="166" t="s">
        <v>105</v>
      </c>
      <c r="X11" s="166" t="s">
        <v>105</v>
      </c>
      <c r="Y11" s="166" t="s">
        <v>105</v>
      </c>
      <c r="Z11" s="166" t="s">
        <v>105</v>
      </c>
      <c r="AA11" s="166" t="s">
        <v>105</v>
      </c>
      <c r="AB11" s="166" t="s">
        <v>105</v>
      </c>
      <c r="AC11" s="166"/>
      <c r="AD11" s="166" t="s">
        <v>105</v>
      </c>
      <c r="AE11" s="166" t="s">
        <v>105</v>
      </c>
      <c r="AF11" s="166" t="s">
        <v>105</v>
      </c>
      <c r="AG11" s="166" t="s">
        <v>107</v>
      </c>
      <c r="AH11" s="166" t="s">
        <v>108</v>
      </c>
      <c r="AI11" s="166" t="s">
        <v>109</v>
      </c>
      <c r="AJ11" s="173">
        <f>COUNTIF(E11:AI11,"X")</f>
        <v>21</v>
      </c>
      <c r="AK11" s="173">
        <f>COUNTIF(E11:AI11,"X/2")</f>
        <v>1</v>
      </c>
      <c r="AL11" s="174">
        <f>AJ11+AK11/2</f>
        <v>21.5</v>
      </c>
      <c r="AM11" s="173">
        <f>COUNTIF(E11:AI11,"NL")+COUNTIF(E11:AI11,"NB")</f>
        <v>3</v>
      </c>
      <c r="AN11" s="169">
        <f t="shared" ref="AN11:AN12" si="3">COUNTIF(E11:AI11,"N")</f>
        <v>2</v>
      </c>
      <c r="AO11" s="170">
        <f t="shared" ref="AO11" si="4">AL11+AM11</f>
        <v>24.5</v>
      </c>
    </row>
    <row r="12" spans="1:41" ht="20" customHeight="1" x14ac:dyDescent="0.3">
      <c r="A12" s="1">
        <v>3</v>
      </c>
      <c r="B12" s="162" t="s">
        <v>34</v>
      </c>
      <c r="C12" s="163" t="str">
        <f>VLOOKUP(B12,'DS NV'!$A$1:$D$11,2,0)</f>
        <v>HỒ THỊ C</v>
      </c>
      <c r="D12" s="164" t="str">
        <f>VLOOKUP(B12,'DS NV'!$A$1:$D$11,3,0)</f>
        <v>Staff</v>
      </c>
      <c r="E12" s="165" t="s">
        <v>105</v>
      </c>
      <c r="F12" s="31" t="s">
        <v>105</v>
      </c>
      <c r="G12" s="31" t="s">
        <v>105</v>
      </c>
      <c r="H12" s="31"/>
      <c r="I12" s="166" t="s">
        <v>105</v>
      </c>
      <c r="J12" s="166" t="s">
        <v>105</v>
      </c>
      <c r="K12" s="166" t="s">
        <v>105</v>
      </c>
      <c r="L12" s="166" t="s">
        <v>110</v>
      </c>
      <c r="M12" s="166" t="s">
        <v>105</v>
      </c>
      <c r="N12" s="166" t="s">
        <v>108</v>
      </c>
      <c r="O12" s="166"/>
      <c r="P12" s="166" t="s">
        <v>107</v>
      </c>
      <c r="Q12" s="166" t="s">
        <v>105</v>
      </c>
      <c r="R12" s="166" t="s">
        <v>105</v>
      </c>
      <c r="S12" s="166" t="s">
        <v>105</v>
      </c>
      <c r="T12" s="166" t="s">
        <v>105</v>
      </c>
      <c r="U12" s="166" t="s">
        <v>105</v>
      </c>
      <c r="V12" s="166"/>
      <c r="W12" s="166" t="s">
        <v>105</v>
      </c>
      <c r="X12" s="166" t="s">
        <v>105</v>
      </c>
      <c r="Y12" s="166" t="s">
        <v>105</v>
      </c>
      <c r="Z12" s="166" t="s">
        <v>105</v>
      </c>
      <c r="AA12" s="166" t="s">
        <v>105</v>
      </c>
      <c r="AB12" s="166" t="s">
        <v>105</v>
      </c>
      <c r="AC12" s="166"/>
      <c r="AD12" s="166" t="s">
        <v>105</v>
      </c>
      <c r="AE12" s="166" t="s">
        <v>105</v>
      </c>
      <c r="AF12" s="166" t="s">
        <v>105</v>
      </c>
      <c r="AG12" s="166" t="s">
        <v>107</v>
      </c>
      <c r="AH12" s="166" t="s">
        <v>108</v>
      </c>
      <c r="AI12" s="166" t="s">
        <v>109</v>
      </c>
      <c r="AJ12" s="173">
        <f t="shared" ref="AJ12:AJ14" si="5">COUNTIF(E12:AI12,"X")</f>
        <v>21</v>
      </c>
      <c r="AK12" s="173">
        <f t="shared" ref="AK12:AK14" si="6">COUNTIF(E12:AI12,"X/2")</f>
        <v>0</v>
      </c>
      <c r="AL12" s="174">
        <f t="shared" ref="AL12:AL14" si="7">AJ12+AK12/2</f>
        <v>21</v>
      </c>
      <c r="AM12" s="173">
        <f>COUNTIF(E12:AI12,"NL")+COUNTIF(E12:AI12,"NB")</f>
        <v>3</v>
      </c>
      <c r="AN12" s="169">
        <f t="shared" si="3"/>
        <v>2</v>
      </c>
      <c r="AO12" s="170">
        <f>AL12+AM12</f>
        <v>24</v>
      </c>
    </row>
    <row r="13" spans="1:41" s="160" customFormat="1" ht="20" customHeight="1" x14ac:dyDescent="0.3">
      <c r="A13" s="175" t="s">
        <v>14</v>
      </c>
      <c r="B13" s="176"/>
      <c r="C13" s="177" t="s">
        <v>23</v>
      </c>
      <c r="D13" s="178"/>
      <c r="E13" s="179"/>
      <c r="F13" s="176"/>
      <c r="G13" s="176"/>
      <c r="H13" s="176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1">
        <f>SUBTOTAL(9,AJ14:AJ18)</f>
        <v>109</v>
      </c>
      <c r="AK13" s="181">
        <f t="shared" ref="AK13:AN13" si="8">SUBTOTAL(9,AK14:AK18)</f>
        <v>2</v>
      </c>
      <c r="AL13" s="182">
        <f>SUBTOTAL(9,AL14:AL18)</f>
        <v>110</v>
      </c>
      <c r="AM13" s="181">
        <f t="shared" si="8"/>
        <v>7</v>
      </c>
      <c r="AN13" s="183">
        <f t="shared" si="8"/>
        <v>14</v>
      </c>
      <c r="AO13" s="184">
        <f>SUBTOTAL(9,AO14:AO18)</f>
        <v>117</v>
      </c>
    </row>
    <row r="14" spans="1:41" ht="20" customHeight="1" x14ac:dyDescent="0.3">
      <c r="A14" s="1">
        <v>4</v>
      </c>
      <c r="B14" s="31" t="s">
        <v>35</v>
      </c>
      <c r="C14" s="171" t="str">
        <f>VLOOKUP(B14,'DS NV'!$A$1:$D$11,2,0)</f>
        <v>HÀ VĂN D</v>
      </c>
      <c r="D14" s="172" t="str">
        <f>VLOOKUP(B14,'DS NV'!$A$1:$D$11,3,0)</f>
        <v>Leader</v>
      </c>
      <c r="E14" s="165" t="s">
        <v>105</v>
      </c>
      <c r="F14" s="31" t="s">
        <v>105</v>
      </c>
      <c r="G14" s="31" t="s">
        <v>105</v>
      </c>
      <c r="H14" s="31"/>
      <c r="I14" s="166" t="s">
        <v>105</v>
      </c>
      <c r="J14" s="166" t="s">
        <v>105</v>
      </c>
      <c r="K14" s="166" t="s">
        <v>105</v>
      </c>
      <c r="L14" s="166" t="s">
        <v>106</v>
      </c>
      <c r="M14" s="166" t="s">
        <v>105</v>
      </c>
      <c r="N14" s="166" t="s">
        <v>108</v>
      </c>
      <c r="O14" s="166"/>
      <c r="P14" s="166" t="s">
        <v>107</v>
      </c>
      <c r="Q14" s="166" t="s">
        <v>105</v>
      </c>
      <c r="R14" s="166" t="s">
        <v>105</v>
      </c>
      <c r="S14" s="166" t="s">
        <v>105</v>
      </c>
      <c r="T14" s="166" t="s">
        <v>105</v>
      </c>
      <c r="U14" s="166" t="s">
        <v>105</v>
      </c>
      <c r="V14" s="166"/>
      <c r="W14" s="166" t="s">
        <v>105</v>
      </c>
      <c r="X14" s="166" t="s">
        <v>105</v>
      </c>
      <c r="Y14" s="166" t="s">
        <v>105</v>
      </c>
      <c r="Z14" s="166" t="s">
        <v>105</v>
      </c>
      <c r="AA14" s="166" t="s">
        <v>105</v>
      </c>
      <c r="AB14" s="166" t="s">
        <v>105</v>
      </c>
      <c r="AC14" s="166"/>
      <c r="AD14" s="166" t="s">
        <v>105</v>
      </c>
      <c r="AE14" s="166" t="s">
        <v>105</v>
      </c>
      <c r="AF14" s="166" t="s">
        <v>105</v>
      </c>
      <c r="AG14" s="166" t="s">
        <v>107</v>
      </c>
      <c r="AH14" s="166" t="s">
        <v>108</v>
      </c>
      <c r="AI14" s="166" t="s">
        <v>109</v>
      </c>
      <c r="AJ14" s="173">
        <f t="shared" si="5"/>
        <v>21</v>
      </c>
      <c r="AK14" s="173">
        <f t="shared" si="6"/>
        <v>1</v>
      </c>
      <c r="AL14" s="174">
        <f t="shared" si="7"/>
        <v>21.5</v>
      </c>
      <c r="AM14" s="173">
        <f>COUNTIF(E14:AI14,"NL")+COUNTIF(E14:AI14,"NB")</f>
        <v>3</v>
      </c>
      <c r="AN14" s="169">
        <f>COUNTIF(E14:AI14,"N")</f>
        <v>2</v>
      </c>
      <c r="AO14" s="185">
        <f>AL14+AM14</f>
        <v>24.5</v>
      </c>
    </row>
    <row r="15" spans="1:41" ht="20" customHeight="1" x14ac:dyDescent="0.3">
      <c r="A15" s="1">
        <v>5</v>
      </c>
      <c r="B15" s="31" t="s">
        <v>36</v>
      </c>
      <c r="C15" s="171" t="str">
        <f>VLOOKUP(B15,'DS NV'!$A$1:$D$11,2,0)</f>
        <v>LÊ PHƯƠNG E</v>
      </c>
      <c r="D15" s="172" t="str">
        <f>VLOOKUP(B15,'DS NV'!$A$1:$D$11,3,0)</f>
        <v>Staff</v>
      </c>
      <c r="E15" s="165" t="s">
        <v>105</v>
      </c>
      <c r="F15" s="31" t="s">
        <v>105</v>
      </c>
      <c r="G15" s="31" t="s">
        <v>105</v>
      </c>
      <c r="H15" s="31"/>
      <c r="I15" s="166" t="s">
        <v>105</v>
      </c>
      <c r="J15" s="166" t="s">
        <v>105</v>
      </c>
      <c r="K15" s="166" t="s">
        <v>105</v>
      </c>
      <c r="L15" s="166" t="s">
        <v>105</v>
      </c>
      <c r="M15" s="166" t="s">
        <v>105</v>
      </c>
      <c r="N15" s="166" t="s">
        <v>107</v>
      </c>
      <c r="O15" s="166"/>
      <c r="P15" s="166" t="s">
        <v>107</v>
      </c>
      <c r="Q15" s="166" t="s">
        <v>105</v>
      </c>
      <c r="R15" s="166" t="s">
        <v>105</v>
      </c>
      <c r="S15" s="166" t="s">
        <v>105</v>
      </c>
      <c r="T15" s="166" t="s">
        <v>105</v>
      </c>
      <c r="U15" s="166" t="s">
        <v>105</v>
      </c>
      <c r="V15" s="166"/>
      <c r="W15" s="166" t="s">
        <v>106</v>
      </c>
      <c r="X15" s="166" t="s">
        <v>105</v>
      </c>
      <c r="Y15" s="166" t="s">
        <v>105</v>
      </c>
      <c r="Z15" s="166" t="s">
        <v>105</v>
      </c>
      <c r="AA15" s="166" t="s">
        <v>105</v>
      </c>
      <c r="AB15" s="166" t="s">
        <v>105</v>
      </c>
      <c r="AC15" s="166"/>
      <c r="AD15" s="166" t="s">
        <v>105</v>
      </c>
      <c r="AE15" s="166" t="s">
        <v>105</v>
      </c>
      <c r="AF15" s="166" t="s">
        <v>105</v>
      </c>
      <c r="AG15" s="166" t="s">
        <v>107</v>
      </c>
      <c r="AH15" s="166" t="s">
        <v>108</v>
      </c>
      <c r="AI15" s="166" t="s">
        <v>105</v>
      </c>
      <c r="AJ15" s="173">
        <f>COUNTIF(E15:AI15,"X")</f>
        <v>22</v>
      </c>
      <c r="AK15" s="173">
        <f>COUNTIF(E15:AI15,"X/2")</f>
        <v>1</v>
      </c>
      <c r="AL15" s="174">
        <f>AJ15+AK15/2</f>
        <v>22.5</v>
      </c>
      <c r="AM15" s="173">
        <f t="shared" ref="AM15" si="9">COUNTIF(E15:AI15,"NL")+COUNTIF(E15:AI15,"NB")</f>
        <v>1</v>
      </c>
      <c r="AN15" s="169">
        <f t="shared" ref="AN15:AN18" si="10">COUNTIF(E15:AI15,"N")</f>
        <v>3</v>
      </c>
      <c r="AO15" s="185">
        <f t="shared" ref="AO15:AO17" si="11">AL15+AM15</f>
        <v>23.5</v>
      </c>
    </row>
    <row r="16" spans="1:41" ht="20" customHeight="1" x14ac:dyDescent="0.3">
      <c r="A16" s="1">
        <v>6</v>
      </c>
      <c r="B16" s="31" t="s">
        <v>37</v>
      </c>
      <c r="C16" s="171" t="str">
        <f>VLOOKUP(B16,'DS NV'!$A$1:$D$11,2,0)</f>
        <v>LÝ MINH F</v>
      </c>
      <c r="D16" s="172" t="str">
        <f>VLOOKUP(B16,'DS NV'!$A$1:$D$11,3,0)</f>
        <v>Staff</v>
      </c>
      <c r="E16" s="165" t="s">
        <v>105</v>
      </c>
      <c r="F16" s="31" t="s">
        <v>105</v>
      </c>
      <c r="G16" s="31" t="s">
        <v>105</v>
      </c>
      <c r="H16" s="31"/>
      <c r="I16" s="166" t="s">
        <v>105</v>
      </c>
      <c r="J16" s="166" t="s">
        <v>105</v>
      </c>
      <c r="K16" s="166" t="s">
        <v>105</v>
      </c>
      <c r="L16" s="166" t="s">
        <v>105</v>
      </c>
      <c r="M16" s="166" t="s">
        <v>105</v>
      </c>
      <c r="N16" s="166" t="s">
        <v>107</v>
      </c>
      <c r="O16" s="166"/>
      <c r="P16" s="166" t="s">
        <v>107</v>
      </c>
      <c r="Q16" s="166" t="s">
        <v>105</v>
      </c>
      <c r="R16" s="166" t="s">
        <v>105</v>
      </c>
      <c r="S16" s="166" t="s">
        <v>105</v>
      </c>
      <c r="T16" s="166" t="s">
        <v>105</v>
      </c>
      <c r="U16" s="166" t="s">
        <v>105</v>
      </c>
      <c r="V16" s="166"/>
      <c r="W16" s="166" t="s">
        <v>110</v>
      </c>
      <c r="X16" s="166" t="s">
        <v>105</v>
      </c>
      <c r="Y16" s="166" t="s">
        <v>105</v>
      </c>
      <c r="Z16" s="166" t="s">
        <v>105</v>
      </c>
      <c r="AA16" s="166" t="s">
        <v>105</v>
      </c>
      <c r="AB16" s="166" t="s">
        <v>105</v>
      </c>
      <c r="AC16" s="166"/>
      <c r="AD16" s="166" t="s">
        <v>105</v>
      </c>
      <c r="AE16" s="166" t="s">
        <v>105</v>
      </c>
      <c r="AF16" s="166" t="s">
        <v>105</v>
      </c>
      <c r="AG16" s="166" t="s">
        <v>107</v>
      </c>
      <c r="AH16" s="166" t="s">
        <v>108</v>
      </c>
      <c r="AI16" s="166" t="s">
        <v>105</v>
      </c>
      <c r="AJ16" s="173">
        <f>COUNTIF(E16:AI16,"X")</f>
        <v>22</v>
      </c>
      <c r="AK16" s="173">
        <f>COUNTIF(E16:AI16,"X/2")</f>
        <v>0</v>
      </c>
      <c r="AL16" s="174">
        <f>AJ16+AK16/2</f>
        <v>22</v>
      </c>
      <c r="AM16" s="173">
        <f>COUNTIF(E16:AI16,"NL")+COUNTIF(E16:AI16,"NB")</f>
        <v>1</v>
      </c>
      <c r="AN16" s="169">
        <f t="shared" si="10"/>
        <v>3</v>
      </c>
      <c r="AO16" s="185">
        <f>AL16+AM16</f>
        <v>23</v>
      </c>
    </row>
    <row r="17" spans="1:41" ht="20" customHeight="1" x14ac:dyDescent="0.3">
      <c r="A17" s="1">
        <v>7</v>
      </c>
      <c r="B17" s="31" t="s">
        <v>38</v>
      </c>
      <c r="C17" s="171" t="str">
        <f>VLOOKUP(B17,'DS NV'!$A$1:$D$11,2,0)</f>
        <v>HOÀNG VĂN G</v>
      </c>
      <c r="D17" s="172" t="str">
        <f>VLOOKUP(B17,'DS NV'!$A$1:$D$11,3,0)</f>
        <v>Staff</v>
      </c>
      <c r="E17" s="165" t="s">
        <v>105</v>
      </c>
      <c r="F17" s="31" t="s">
        <v>105</v>
      </c>
      <c r="G17" s="31" t="s">
        <v>105</v>
      </c>
      <c r="H17" s="31"/>
      <c r="I17" s="166" t="s">
        <v>105</v>
      </c>
      <c r="J17" s="166" t="s">
        <v>105</v>
      </c>
      <c r="K17" s="166" t="s">
        <v>105</v>
      </c>
      <c r="L17" s="166" t="s">
        <v>105</v>
      </c>
      <c r="M17" s="166" t="s">
        <v>105</v>
      </c>
      <c r="N17" s="166" t="s">
        <v>107</v>
      </c>
      <c r="O17" s="166"/>
      <c r="P17" s="166" t="s">
        <v>107</v>
      </c>
      <c r="Q17" s="166" t="s">
        <v>105</v>
      </c>
      <c r="R17" s="166" t="s">
        <v>105</v>
      </c>
      <c r="S17" s="166" t="s">
        <v>105</v>
      </c>
      <c r="T17" s="166" t="s">
        <v>105</v>
      </c>
      <c r="U17" s="166" t="s">
        <v>105</v>
      </c>
      <c r="V17" s="166"/>
      <c r="W17" s="166" t="s">
        <v>111</v>
      </c>
      <c r="X17" s="166" t="s">
        <v>105</v>
      </c>
      <c r="Y17" s="166" t="s">
        <v>105</v>
      </c>
      <c r="Z17" s="166" t="s">
        <v>105</v>
      </c>
      <c r="AA17" s="166" t="s">
        <v>105</v>
      </c>
      <c r="AB17" s="166" t="s">
        <v>105</v>
      </c>
      <c r="AC17" s="166"/>
      <c r="AD17" s="166" t="s">
        <v>105</v>
      </c>
      <c r="AE17" s="166" t="s">
        <v>105</v>
      </c>
      <c r="AF17" s="166" t="s">
        <v>105</v>
      </c>
      <c r="AG17" s="166" t="s">
        <v>107</v>
      </c>
      <c r="AH17" s="166" t="s">
        <v>108</v>
      </c>
      <c r="AI17" s="166" t="s">
        <v>105</v>
      </c>
      <c r="AJ17" s="173">
        <f t="shared" ref="AJ17:AJ20" si="12">COUNTIF(E17:AI17,"X")</f>
        <v>22</v>
      </c>
      <c r="AK17" s="173">
        <f t="shared" ref="AK17:AK20" si="13">COUNTIF(E17:AI17,"X/2")</f>
        <v>0</v>
      </c>
      <c r="AL17" s="174">
        <f t="shared" ref="AL17:AL20" si="14">AJ17+AK17/2</f>
        <v>22</v>
      </c>
      <c r="AM17" s="173">
        <f>COUNTIF(E17:AI17,"NL")+COUNTIF(E17:AI17,"NB")</f>
        <v>1</v>
      </c>
      <c r="AN17" s="169">
        <f t="shared" si="10"/>
        <v>3</v>
      </c>
      <c r="AO17" s="185">
        <f t="shared" si="11"/>
        <v>23</v>
      </c>
    </row>
    <row r="18" spans="1:41" ht="20" customHeight="1" x14ac:dyDescent="0.3">
      <c r="A18" s="1">
        <v>8</v>
      </c>
      <c r="B18" s="31" t="s">
        <v>39</v>
      </c>
      <c r="C18" s="171" t="str">
        <f>VLOOKUP(B18,'DS NV'!$A$1:$D$11,2,0)</f>
        <v>ĐỖ TẤN H</v>
      </c>
      <c r="D18" s="172" t="str">
        <f>VLOOKUP(B18,'DS NV'!$A$1:$D$11,3,0)</f>
        <v>Staff</v>
      </c>
      <c r="E18" s="165" t="s">
        <v>105</v>
      </c>
      <c r="F18" s="31" t="s">
        <v>105</v>
      </c>
      <c r="G18" s="31" t="s">
        <v>105</v>
      </c>
      <c r="H18" s="31"/>
      <c r="I18" s="166" t="s">
        <v>105</v>
      </c>
      <c r="J18" s="166" t="s">
        <v>105</v>
      </c>
      <c r="K18" s="166" t="s">
        <v>105</v>
      </c>
      <c r="L18" s="166" t="s">
        <v>105</v>
      </c>
      <c r="M18" s="166" t="s">
        <v>105</v>
      </c>
      <c r="N18" s="166" t="s">
        <v>107</v>
      </c>
      <c r="O18" s="166"/>
      <c r="P18" s="166" t="s">
        <v>107</v>
      </c>
      <c r="Q18" s="166" t="s">
        <v>105</v>
      </c>
      <c r="R18" s="166" t="s">
        <v>105</v>
      </c>
      <c r="S18" s="166" t="s">
        <v>105</v>
      </c>
      <c r="T18" s="166" t="s">
        <v>105</v>
      </c>
      <c r="U18" s="166" t="s">
        <v>105</v>
      </c>
      <c r="V18" s="166"/>
      <c r="W18" s="166" t="s">
        <v>112</v>
      </c>
      <c r="X18" s="166" t="s">
        <v>105</v>
      </c>
      <c r="Y18" s="166" t="s">
        <v>105</v>
      </c>
      <c r="Z18" s="166" t="s">
        <v>105</v>
      </c>
      <c r="AA18" s="166" t="s">
        <v>105</v>
      </c>
      <c r="AB18" s="166" t="s">
        <v>105</v>
      </c>
      <c r="AC18" s="166"/>
      <c r="AD18" s="166" t="s">
        <v>105</v>
      </c>
      <c r="AE18" s="166" t="s">
        <v>105</v>
      </c>
      <c r="AF18" s="166" t="s">
        <v>105</v>
      </c>
      <c r="AG18" s="166" t="s">
        <v>107</v>
      </c>
      <c r="AH18" s="166" t="s">
        <v>108</v>
      </c>
      <c r="AI18" s="166" t="s">
        <v>105</v>
      </c>
      <c r="AJ18" s="173">
        <f t="shared" si="12"/>
        <v>22</v>
      </c>
      <c r="AK18" s="173">
        <f t="shared" si="13"/>
        <v>0</v>
      </c>
      <c r="AL18" s="174">
        <f t="shared" si="14"/>
        <v>22</v>
      </c>
      <c r="AM18" s="173">
        <f>COUNTIF(E18:AI18,"NL")+COUNTIF(E18:AI18,"NB")</f>
        <v>1</v>
      </c>
      <c r="AN18" s="169">
        <f t="shared" si="10"/>
        <v>3</v>
      </c>
      <c r="AO18" s="185">
        <f>AL18+AM18</f>
        <v>23</v>
      </c>
    </row>
    <row r="19" spans="1:41" ht="20" customHeight="1" x14ac:dyDescent="0.3">
      <c r="A19" s="175" t="s">
        <v>18</v>
      </c>
      <c r="B19" s="186"/>
      <c r="C19" s="177" t="s">
        <v>29</v>
      </c>
      <c r="D19" s="187"/>
      <c r="E19" s="188"/>
      <c r="F19" s="186"/>
      <c r="G19" s="186"/>
      <c r="H19" s="186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186"/>
      <c r="AI19" s="186"/>
      <c r="AJ19" s="181">
        <f>SUBTOTAL(9,AJ20:AJ21)</f>
        <v>52</v>
      </c>
      <c r="AK19" s="181">
        <f t="shared" ref="AK19:AO19" si="15">SUBTOTAL(9,AK20:AK21)</f>
        <v>0</v>
      </c>
      <c r="AL19" s="182">
        <f t="shared" si="15"/>
        <v>52</v>
      </c>
      <c r="AM19" s="181">
        <f t="shared" si="15"/>
        <v>1</v>
      </c>
      <c r="AN19" s="183">
        <f t="shared" si="15"/>
        <v>1</v>
      </c>
      <c r="AO19" s="184">
        <f t="shared" si="15"/>
        <v>53</v>
      </c>
    </row>
    <row r="20" spans="1:41" ht="20" customHeight="1" x14ac:dyDescent="0.3">
      <c r="A20" s="1">
        <v>9</v>
      </c>
      <c r="B20" s="31" t="s">
        <v>40</v>
      </c>
      <c r="C20" s="171" t="str">
        <f>VLOOKUP(B20,'DS NV'!$A$1:$D$11,2,0)</f>
        <v>LÂM VĂN K</v>
      </c>
      <c r="D20" s="172" t="str">
        <f>VLOOKUP(B20,'DS NV'!$A$1:$D$11,3,0)</f>
        <v>Leader</v>
      </c>
      <c r="E20" s="165" t="s">
        <v>105</v>
      </c>
      <c r="F20" s="31" t="s">
        <v>105</v>
      </c>
      <c r="G20" s="31" t="s">
        <v>105</v>
      </c>
      <c r="H20" s="31"/>
      <c r="I20" s="166" t="s">
        <v>105</v>
      </c>
      <c r="J20" s="166" t="s">
        <v>105</v>
      </c>
      <c r="K20" s="166" t="s">
        <v>105</v>
      </c>
      <c r="L20" s="166" t="s">
        <v>105</v>
      </c>
      <c r="M20" s="166" t="s">
        <v>105</v>
      </c>
      <c r="N20" s="166" t="s">
        <v>105</v>
      </c>
      <c r="O20" s="166"/>
      <c r="P20" s="166" t="s">
        <v>105</v>
      </c>
      <c r="Q20" s="166" t="s">
        <v>105</v>
      </c>
      <c r="R20" s="166" t="s">
        <v>105</v>
      </c>
      <c r="S20" s="166" t="s">
        <v>105</v>
      </c>
      <c r="T20" s="166" t="s">
        <v>105</v>
      </c>
      <c r="U20" s="166" t="s">
        <v>105</v>
      </c>
      <c r="V20" s="166"/>
      <c r="W20" s="166" t="s">
        <v>105</v>
      </c>
      <c r="X20" s="166" t="s">
        <v>105</v>
      </c>
      <c r="Y20" s="166" t="s">
        <v>105</v>
      </c>
      <c r="Z20" s="166" t="s">
        <v>105</v>
      </c>
      <c r="AA20" s="166" t="s">
        <v>105</v>
      </c>
      <c r="AB20" s="166" t="s">
        <v>105</v>
      </c>
      <c r="AC20" s="166"/>
      <c r="AD20" s="166" t="s">
        <v>105</v>
      </c>
      <c r="AE20" s="166" t="s">
        <v>109</v>
      </c>
      <c r="AF20" s="166" t="s">
        <v>105</v>
      </c>
      <c r="AG20" s="166" t="s">
        <v>105</v>
      </c>
      <c r="AH20" s="166" t="s">
        <v>105</v>
      </c>
      <c r="AI20" s="166" t="s">
        <v>105</v>
      </c>
      <c r="AJ20" s="173">
        <f t="shared" si="12"/>
        <v>26</v>
      </c>
      <c r="AK20" s="173">
        <f t="shared" si="13"/>
        <v>0</v>
      </c>
      <c r="AL20" s="174">
        <f t="shared" si="14"/>
        <v>26</v>
      </c>
      <c r="AM20" s="173">
        <f t="shared" ref="AM20:AM21" si="16">COUNTIF(E20:AI20,"NL")+COUNTIF(E20:AI20,"NB")</f>
        <v>1</v>
      </c>
      <c r="AN20" s="169">
        <f>COUNTIF(E20:AI20,"N")</f>
        <v>0</v>
      </c>
      <c r="AO20" s="185">
        <f>AL20+AM20</f>
        <v>27</v>
      </c>
    </row>
    <row r="21" spans="1:41" ht="20" customHeight="1" x14ac:dyDescent="0.3">
      <c r="A21" s="1">
        <v>10</v>
      </c>
      <c r="B21" s="31" t="s">
        <v>41</v>
      </c>
      <c r="C21" s="171" t="str">
        <f>VLOOKUP(B21,'DS NV'!$A$1:$D$11,2,0)</f>
        <v>TRỊNH NGỌC M</v>
      </c>
      <c r="D21" s="172" t="str">
        <f>VLOOKUP(B21,'DS NV'!$A$1:$D$11,3,0)</f>
        <v>Staff</v>
      </c>
      <c r="E21" s="165" t="s">
        <v>105</v>
      </c>
      <c r="F21" s="31" t="s">
        <v>105</v>
      </c>
      <c r="G21" s="31" t="s">
        <v>105</v>
      </c>
      <c r="H21" s="31"/>
      <c r="I21" s="166" t="s">
        <v>105</v>
      </c>
      <c r="J21" s="166" t="s">
        <v>105</v>
      </c>
      <c r="K21" s="166" t="s">
        <v>105</v>
      </c>
      <c r="L21" s="166" t="s">
        <v>105</v>
      </c>
      <c r="M21" s="166" t="s">
        <v>105</v>
      </c>
      <c r="N21" s="166" t="s">
        <v>105</v>
      </c>
      <c r="O21" s="166"/>
      <c r="P21" s="166" t="s">
        <v>107</v>
      </c>
      <c r="Q21" s="166" t="s">
        <v>105</v>
      </c>
      <c r="R21" s="166" t="s">
        <v>105</v>
      </c>
      <c r="S21" s="166" t="s">
        <v>105</v>
      </c>
      <c r="T21" s="166" t="s">
        <v>105</v>
      </c>
      <c r="U21" s="166" t="s">
        <v>105</v>
      </c>
      <c r="V21" s="166"/>
      <c r="W21" s="166" t="s">
        <v>105</v>
      </c>
      <c r="X21" s="166" t="s">
        <v>105</v>
      </c>
      <c r="Y21" s="166" t="s">
        <v>105</v>
      </c>
      <c r="Z21" s="166" t="s">
        <v>105</v>
      </c>
      <c r="AA21" s="166" t="s">
        <v>105</v>
      </c>
      <c r="AB21" s="166" t="s">
        <v>105</v>
      </c>
      <c r="AC21" s="166"/>
      <c r="AD21" s="166" t="s">
        <v>105</v>
      </c>
      <c r="AE21" s="166" t="s">
        <v>105</v>
      </c>
      <c r="AF21" s="166" t="s">
        <v>105</v>
      </c>
      <c r="AG21" s="166" t="s">
        <v>105</v>
      </c>
      <c r="AH21" s="166" t="s">
        <v>105</v>
      </c>
      <c r="AI21" s="166" t="s">
        <v>105</v>
      </c>
      <c r="AJ21" s="173">
        <f>COUNTIF(E21:AI21,"X")</f>
        <v>26</v>
      </c>
      <c r="AK21" s="173">
        <f>COUNTIF(E21:AI21,"X/2")</f>
        <v>0</v>
      </c>
      <c r="AL21" s="174">
        <f>AJ21+AK21/2</f>
        <v>26</v>
      </c>
      <c r="AM21" s="173">
        <f t="shared" si="16"/>
        <v>0</v>
      </c>
      <c r="AN21" s="169">
        <f>COUNTIF(E21:AI21,"N")</f>
        <v>1</v>
      </c>
      <c r="AO21" s="185">
        <f>AL21+AM21</f>
        <v>26</v>
      </c>
    </row>
    <row r="22" spans="1:41" ht="20" customHeight="1" thickBot="1" x14ac:dyDescent="0.35">
      <c r="A22" s="190"/>
      <c r="B22" s="191"/>
      <c r="C22" s="192" t="s">
        <v>113</v>
      </c>
      <c r="D22" s="193"/>
      <c r="E22" s="272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  <c r="V22" s="273"/>
      <c r="W22" s="273"/>
      <c r="X22" s="273"/>
      <c r="Y22" s="273"/>
      <c r="Z22" s="273"/>
      <c r="AA22" s="273"/>
      <c r="AB22" s="273"/>
      <c r="AC22" s="273"/>
      <c r="AD22" s="273"/>
      <c r="AE22" s="273"/>
      <c r="AF22" s="273"/>
      <c r="AG22" s="273"/>
      <c r="AH22" s="273"/>
      <c r="AI22" s="274"/>
      <c r="AJ22" s="194">
        <f>SUBTOTAL(9,AJ9:AJ21)</f>
        <v>225</v>
      </c>
      <c r="AK22" s="194">
        <f t="shared" ref="AK22:AM22" si="17">SUBTOTAL(9,AK9:AK21)</f>
        <v>5</v>
      </c>
      <c r="AL22" s="195">
        <f>SUBTOTAL(9,AL9:AL21)</f>
        <v>227.5</v>
      </c>
      <c r="AM22" s="194">
        <f t="shared" si="17"/>
        <v>14</v>
      </c>
      <c r="AN22" s="196">
        <f>SUBTOTAL(9,AN9:AN21)</f>
        <v>22</v>
      </c>
      <c r="AO22" s="197">
        <f>SUBTOTAL(9,AO9:AO21)</f>
        <v>241.5</v>
      </c>
    </row>
    <row r="23" spans="1:41" ht="14" x14ac:dyDescent="0.3">
      <c r="A23" s="136"/>
      <c r="B23" s="136"/>
      <c r="C23" s="136"/>
      <c r="D23" s="136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39"/>
      <c r="U23" s="139"/>
      <c r="V23" s="145"/>
      <c r="W23" s="139"/>
      <c r="X23" s="139"/>
      <c r="Y23" s="145"/>
      <c r="Z23" s="145"/>
      <c r="AA23" s="139"/>
      <c r="AB23" s="139"/>
      <c r="AC23" s="139"/>
      <c r="AD23" s="139"/>
      <c r="AE23" s="139"/>
      <c r="AF23" s="139"/>
      <c r="AG23" s="139"/>
      <c r="AH23" s="139"/>
      <c r="AI23" s="145"/>
      <c r="AJ23" s="136"/>
      <c r="AK23" s="136"/>
      <c r="AL23" s="136"/>
      <c r="AM23" s="136"/>
      <c r="AN23" s="136"/>
      <c r="AO23" s="136"/>
    </row>
    <row r="24" spans="1:41" ht="15.5" x14ac:dyDescent="0.3">
      <c r="A24" s="136"/>
      <c r="B24" s="136"/>
      <c r="C24" s="136"/>
      <c r="D24" s="136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39"/>
      <c r="U24" s="13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275" t="s">
        <v>62</v>
      </c>
      <c r="AK24" s="275"/>
      <c r="AL24" s="275"/>
      <c r="AM24" s="275"/>
      <c r="AN24" s="275"/>
      <c r="AO24" s="275"/>
    </row>
    <row r="25" spans="1:41" s="201" customFormat="1" ht="15.5" x14ac:dyDescent="0.35">
      <c r="A25" s="198"/>
      <c r="B25" s="198"/>
      <c r="C25" s="198"/>
      <c r="D25" s="198"/>
      <c r="E25" s="276" t="s">
        <v>114</v>
      </c>
      <c r="F25" s="276"/>
      <c r="G25" s="276"/>
      <c r="H25" s="276"/>
      <c r="I25" s="276"/>
      <c r="J25" s="276"/>
      <c r="K25" s="276"/>
      <c r="L25" s="276"/>
      <c r="M25" s="276"/>
      <c r="N25" s="276"/>
      <c r="O25" s="199"/>
      <c r="P25" s="199"/>
      <c r="Q25" s="199"/>
      <c r="R25" s="277" t="s">
        <v>16</v>
      </c>
      <c r="S25" s="278"/>
      <c r="T25" s="278"/>
      <c r="U25" s="278"/>
      <c r="V25" s="278"/>
      <c r="W25" s="278"/>
      <c r="X25" s="278"/>
      <c r="Y25" s="278"/>
      <c r="Z25" s="278"/>
      <c r="AA25" s="278"/>
      <c r="AB25" s="278"/>
      <c r="AC25" s="278"/>
      <c r="AD25" s="278"/>
      <c r="AE25" s="278"/>
      <c r="AF25" s="278"/>
      <c r="AG25" s="278"/>
      <c r="AH25" s="278"/>
      <c r="AI25" s="200"/>
      <c r="AJ25" s="277" t="s">
        <v>63</v>
      </c>
      <c r="AK25" s="277"/>
      <c r="AL25" s="277"/>
      <c r="AM25" s="277"/>
      <c r="AN25" s="277"/>
      <c r="AO25" s="277"/>
    </row>
    <row r="26" spans="1:41" s="201" customFormat="1" ht="15.5" x14ac:dyDescent="0.35">
      <c r="A26" s="198"/>
      <c r="B26" s="198"/>
      <c r="C26" s="198"/>
      <c r="D26" s="198"/>
      <c r="E26" s="279" t="s">
        <v>17</v>
      </c>
      <c r="F26" s="279"/>
      <c r="G26" s="279"/>
      <c r="H26" s="279"/>
      <c r="I26" s="279"/>
      <c r="J26" s="279"/>
      <c r="K26" s="279"/>
      <c r="L26" s="279"/>
      <c r="M26" s="279"/>
      <c r="N26" s="279"/>
      <c r="O26" s="199"/>
      <c r="P26" s="199"/>
      <c r="Q26" s="199"/>
      <c r="R26" s="280" t="s">
        <v>17</v>
      </c>
      <c r="S26" s="278"/>
      <c r="T26" s="278"/>
      <c r="U26" s="278"/>
      <c r="V26" s="278"/>
      <c r="W26" s="278"/>
      <c r="X26" s="278"/>
      <c r="Y26" s="278"/>
      <c r="Z26" s="278"/>
      <c r="AA26" s="278"/>
      <c r="AB26" s="278"/>
      <c r="AC26" s="278"/>
      <c r="AD26" s="278"/>
      <c r="AE26" s="278"/>
      <c r="AF26" s="278"/>
      <c r="AG26" s="278"/>
      <c r="AH26" s="278"/>
      <c r="AI26" s="200"/>
      <c r="AJ26" s="280" t="s">
        <v>64</v>
      </c>
      <c r="AK26" s="280"/>
      <c r="AL26" s="280"/>
      <c r="AM26" s="280"/>
      <c r="AN26" s="280"/>
      <c r="AO26" s="280"/>
    </row>
    <row r="27" spans="1:41" ht="14.5" customHeight="1" x14ac:dyDescent="0.3">
      <c r="A27" s="268" t="s">
        <v>115</v>
      </c>
      <c r="B27" s="268"/>
      <c r="C27" s="268"/>
      <c r="D27" s="268"/>
      <c r="E27" s="202"/>
      <c r="F27" s="202"/>
      <c r="G27" s="202"/>
      <c r="H27" s="202"/>
      <c r="I27" s="202"/>
      <c r="J27" s="202"/>
      <c r="K27" s="202"/>
      <c r="L27" s="202"/>
      <c r="M27" s="202"/>
      <c r="N27" s="145"/>
      <c r="O27" s="145"/>
      <c r="P27" s="145"/>
      <c r="Q27" s="145"/>
      <c r="R27" s="145"/>
      <c r="S27" s="145"/>
      <c r="T27" s="145"/>
      <c r="U27" s="145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</row>
    <row r="28" spans="1:41" ht="14" x14ac:dyDescent="0.3">
      <c r="C28" s="203" t="s">
        <v>116</v>
      </c>
      <c r="D28" s="139" t="s">
        <v>105</v>
      </c>
      <c r="E28" s="204"/>
      <c r="F28" s="139"/>
      <c r="G28" s="139"/>
      <c r="H28" s="139"/>
      <c r="I28" s="139"/>
      <c r="J28" s="139"/>
      <c r="K28" s="139"/>
      <c r="L28" s="139"/>
      <c r="M28" s="139"/>
      <c r="N28" s="145"/>
      <c r="O28" s="145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</row>
    <row r="29" spans="1:41" ht="14" x14ac:dyDescent="0.3">
      <c r="C29" s="203" t="s">
        <v>117</v>
      </c>
      <c r="D29" s="205" t="s">
        <v>106</v>
      </c>
      <c r="E29" s="204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</row>
    <row r="30" spans="1:41" ht="14" x14ac:dyDescent="0.3">
      <c r="C30" s="203" t="s">
        <v>118</v>
      </c>
      <c r="D30" s="139" t="s">
        <v>108</v>
      </c>
      <c r="E30" s="204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</row>
    <row r="31" spans="1:41" ht="14" x14ac:dyDescent="0.3">
      <c r="C31" s="203" t="s">
        <v>119</v>
      </c>
      <c r="D31" s="139" t="s">
        <v>109</v>
      </c>
      <c r="E31" s="204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</row>
    <row r="32" spans="1:41" ht="14" x14ac:dyDescent="0.3">
      <c r="C32" s="203" t="s">
        <v>120</v>
      </c>
      <c r="D32" s="139" t="s">
        <v>107</v>
      </c>
      <c r="E32" s="204"/>
      <c r="F32" s="139"/>
      <c r="G32" s="139"/>
      <c r="H32" s="139"/>
      <c r="I32" s="139"/>
      <c r="J32" s="139"/>
      <c r="K32" s="139"/>
      <c r="L32" s="206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</row>
  </sheetData>
  <mergeCells count="26">
    <mergeCell ref="B2:D2"/>
    <mergeCell ref="A6:A8"/>
    <mergeCell ref="B6:B8"/>
    <mergeCell ref="C6:C8"/>
    <mergeCell ref="D6:D8"/>
    <mergeCell ref="AN7:AN8"/>
    <mergeCell ref="AJ7:AJ8"/>
    <mergeCell ref="AK7:AK8"/>
    <mergeCell ref="AL7:AL8"/>
    <mergeCell ref="AM7:AM8"/>
    <mergeCell ref="AO7:AO8"/>
    <mergeCell ref="E2:AI2"/>
    <mergeCell ref="V3:W3"/>
    <mergeCell ref="AB3:AF3"/>
    <mergeCell ref="A27:D27"/>
    <mergeCell ref="E6:AG6"/>
    <mergeCell ref="AH6:AI6"/>
    <mergeCell ref="E22:AI22"/>
    <mergeCell ref="AJ24:AO24"/>
    <mergeCell ref="E25:N25"/>
    <mergeCell ref="R25:AH25"/>
    <mergeCell ref="AJ25:AO25"/>
    <mergeCell ref="E26:N26"/>
    <mergeCell ref="R26:AH26"/>
    <mergeCell ref="AJ26:AO26"/>
    <mergeCell ref="AJ6:AO6"/>
  </mergeCells>
  <phoneticPr fontId="44" type="noConversion"/>
  <conditionalFormatting sqref="E7:AI21">
    <cfRule type="expression" dxfId="6" priority="1">
      <formula>E$7="CN"</formula>
    </cfRule>
  </conditionalFormatting>
  <conditionalFormatting sqref="Q7:Q21">
    <cfRule type="expression" dxfId="5" priority="20" stopIfTrue="1">
      <formula>$Q$7</formula>
    </cfRule>
  </conditionalFormatting>
  <conditionalFormatting sqref="AB7:AB21">
    <cfRule type="expression" dxfId="4" priority="9" stopIfTrue="1">
      <formula>$AB$7</formula>
    </cfRule>
  </conditionalFormatting>
  <conditionalFormatting sqref="AG8:AG21">
    <cfRule type="expression" dxfId="3" priority="36" stopIfTrue="1">
      <formula>$AG$8="K"</formula>
    </cfRule>
  </conditionalFormatting>
  <conditionalFormatting sqref="AG7:AI7">
    <cfRule type="containsText" dxfId="2" priority="33" stopIfTrue="1" operator="containsText" text="K">
      <formula>NOT(ISERROR(SEARCH("K",AG7)))</formula>
    </cfRule>
  </conditionalFormatting>
  <conditionalFormatting sqref="AH8:AH21">
    <cfRule type="expression" dxfId="1" priority="35" stopIfTrue="1">
      <formula>$AH$8="K"</formula>
    </cfRule>
  </conditionalFormatting>
  <conditionalFormatting sqref="AI8:AI21">
    <cfRule type="expression" dxfId="0" priority="34" stopIfTrue="1">
      <formula>$AI$8="K"</formula>
    </cfRule>
  </conditionalFormatting>
  <dataValidations count="2">
    <dataValidation type="list" allowBlank="1" showInputMessage="1" showErrorMessage="1" sqref="JC9:KG22 WVO983052:WWS983062 SY9:UC22 ACU9:ADY22 AMQ9:ANU22 AWM9:AXQ22 BGI9:BHM22 BQE9:BRI22 CAA9:CBE22 CJW9:CLA22 CTS9:CUW22 DDO9:DES22 DNK9:DOO22 DXG9:DYK22 EHC9:EIG22 EQY9:ESC22 FAU9:FBY22 FKQ9:FLU22 FUM9:FVQ22 GEI9:GFM22 GOE9:GPI22 GYA9:GZE22 HHW9:HJA22 HRS9:HSW22 IBO9:ICS22 ILK9:IMO22 IVG9:IWK22 JFC9:JGG22 JOY9:JQC22 JYU9:JZY22 KIQ9:KJU22 KSM9:KTQ22 LCI9:LDM22 LME9:LNI22 LWA9:LXE22 MFW9:MHA22 MPS9:MQW22 MZO9:NAS22 NJK9:NKO22 NTG9:NUK22 ODC9:OEG22 OMY9:OOC22 OWU9:OXY22 PGQ9:PHU22 PQM9:PRQ22 QAI9:QBM22 QKE9:QLI22 QUA9:QVE22 RDW9:RFA22 RNS9:ROW22 RXO9:RYS22 SHK9:SIO22 SRG9:SSK22 TBC9:TCG22 TKY9:TMC22 TUU9:TVY22 UEQ9:UFU22 UOM9:UPQ22 UYI9:UZM22 VIE9:VJI22 VSA9:VTE22 WBW9:WDA22 WLS9:WMW22 WVO9:WWS22 E65548:AI65558 JC65548:KG65558 SY65548:UC65558 ACU65548:ADY65558 AMQ65548:ANU65558 AWM65548:AXQ65558 BGI65548:BHM65558 BQE65548:BRI65558 CAA65548:CBE65558 CJW65548:CLA65558 CTS65548:CUW65558 DDO65548:DES65558 DNK65548:DOO65558 DXG65548:DYK65558 EHC65548:EIG65558 EQY65548:ESC65558 FAU65548:FBY65558 FKQ65548:FLU65558 FUM65548:FVQ65558 GEI65548:GFM65558 GOE65548:GPI65558 GYA65548:GZE65558 HHW65548:HJA65558 HRS65548:HSW65558 IBO65548:ICS65558 ILK65548:IMO65558 IVG65548:IWK65558 JFC65548:JGG65558 JOY65548:JQC65558 JYU65548:JZY65558 KIQ65548:KJU65558 KSM65548:KTQ65558 LCI65548:LDM65558 LME65548:LNI65558 LWA65548:LXE65558 MFW65548:MHA65558 MPS65548:MQW65558 MZO65548:NAS65558 NJK65548:NKO65558 NTG65548:NUK65558 ODC65548:OEG65558 OMY65548:OOC65558 OWU65548:OXY65558 PGQ65548:PHU65558 PQM65548:PRQ65558 QAI65548:QBM65558 QKE65548:QLI65558 QUA65548:QVE65558 RDW65548:RFA65558 RNS65548:ROW65558 RXO65548:RYS65558 SHK65548:SIO65558 SRG65548:SSK65558 TBC65548:TCG65558 TKY65548:TMC65558 TUU65548:TVY65558 UEQ65548:UFU65558 UOM65548:UPQ65558 UYI65548:UZM65558 VIE65548:VJI65558 VSA65548:VTE65558 WBW65548:WDA65558 WLS65548:WMW65558 WVO65548:WWS65558 E131084:AI131094 JC131084:KG131094 SY131084:UC131094 ACU131084:ADY131094 AMQ131084:ANU131094 AWM131084:AXQ131094 BGI131084:BHM131094 BQE131084:BRI131094 CAA131084:CBE131094 CJW131084:CLA131094 CTS131084:CUW131094 DDO131084:DES131094 DNK131084:DOO131094 DXG131084:DYK131094 EHC131084:EIG131094 EQY131084:ESC131094 FAU131084:FBY131094 FKQ131084:FLU131094 FUM131084:FVQ131094 GEI131084:GFM131094 GOE131084:GPI131094 GYA131084:GZE131094 HHW131084:HJA131094 HRS131084:HSW131094 IBO131084:ICS131094 ILK131084:IMO131094 IVG131084:IWK131094 JFC131084:JGG131094 JOY131084:JQC131094 JYU131084:JZY131094 KIQ131084:KJU131094 KSM131084:KTQ131094 LCI131084:LDM131094 LME131084:LNI131094 LWA131084:LXE131094 MFW131084:MHA131094 MPS131084:MQW131094 MZO131084:NAS131094 NJK131084:NKO131094 NTG131084:NUK131094 ODC131084:OEG131094 OMY131084:OOC131094 OWU131084:OXY131094 PGQ131084:PHU131094 PQM131084:PRQ131094 QAI131084:QBM131094 QKE131084:QLI131094 QUA131084:QVE131094 RDW131084:RFA131094 RNS131084:ROW131094 RXO131084:RYS131094 SHK131084:SIO131094 SRG131084:SSK131094 TBC131084:TCG131094 TKY131084:TMC131094 TUU131084:TVY131094 UEQ131084:UFU131094 UOM131084:UPQ131094 UYI131084:UZM131094 VIE131084:VJI131094 VSA131084:VTE131094 WBW131084:WDA131094 WLS131084:WMW131094 WVO131084:WWS131094 E196620:AI196630 JC196620:KG196630 SY196620:UC196630 ACU196620:ADY196630 AMQ196620:ANU196630 AWM196620:AXQ196630 BGI196620:BHM196630 BQE196620:BRI196630 CAA196620:CBE196630 CJW196620:CLA196630 CTS196620:CUW196630 DDO196620:DES196630 DNK196620:DOO196630 DXG196620:DYK196630 EHC196620:EIG196630 EQY196620:ESC196630 FAU196620:FBY196630 FKQ196620:FLU196630 FUM196620:FVQ196630 GEI196620:GFM196630 GOE196620:GPI196630 GYA196620:GZE196630 HHW196620:HJA196630 HRS196620:HSW196630 IBO196620:ICS196630 ILK196620:IMO196630 IVG196620:IWK196630 JFC196620:JGG196630 JOY196620:JQC196630 JYU196620:JZY196630 KIQ196620:KJU196630 KSM196620:KTQ196630 LCI196620:LDM196630 LME196620:LNI196630 LWA196620:LXE196630 MFW196620:MHA196630 MPS196620:MQW196630 MZO196620:NAS196630 NJK196620:NKO196630 NTG196620:NUK196630 ODC196620:OEG196630 OMY196620:OOC196630 OWU196620:OXY196630 PGQ196620:PHU196630 PQM196620:PRQ196630 QAI196620:QBM196630 QKE196620:QLI196630 QUA196620:QVE196630 RDW196620:RFA196630 RNS196620:ROW196630 RXO196620:RYS196630 SHK196620:SIO196630 SRG196620:SSK196630 TBC196620:TCG196630 TKY196620:TMC196630 TUU196620:TVY196630 UEQ196620:UFU196630 UOM196620:UPQ196630 UYI196620:UZM196630 VIE196620:VJI196630 VSA196620:VTE196630 WBW196620:WDA196630 WLS196620:WMW196630 WVO196620:WWS196630 E262156:AI262166 JC262156:KG262166 SY262156:UC262166 ACU262156:ADY262166 AMQ262156:ANU262166 AWM262156:AXQ262166 BGI262156:BHM262166 BQE262156:BRI262166 CAA262156:CBE262166 CJW262156:CLA262166 CTS262156:CUW262166 DDO262156:DES262166 DNK262156:DOO262166 DXG262156:DYK262166 EHC262156:EIG262166 EQY262156:ESC262166 FAU262156:FBY262166 FKQ262156:FLU262166 FUM262156:FVQ262166 GEI262156:GFM262166 GOE262156:GPI262166 GYA262156:GZE262166 HHW262156:HJA262166 HRS262156:HSW262166 IBO262156:ICS262166 ILK262156:IMO262166 IVG262156:IWK262166 JFC262156:JGG262166 JOY262156:JQC262166 JYU262156:JZY262166 KIQ262156:KJU262166 KSM262156:KTQ262166 LCI262156:LDM262166 LME262156:LNI262166 LWA262156:LXE262166 MFW262156:MHA262166 MPS262156:MQW262166 MZO262156:NAS262166 NJK262156:NKO262166 NTG262156:NUK262166 ODC262156:OEG262166 OMY262156:OOC262166 OWU262156:OXY262166 PGQ262156:PHU262166 PQM262156:PRQ262166 QAI262156:QBM262166 QKE262156:QLI262166 QUA262156:QVE262166 RDW262156:RFA262166 RNS262156:ROW262166 RXO262156:RYS262166 SHK262156:SIO262166 SRG262156:SSK262166 TBC262156:TCG262166 TKY262156:TMC262166 TUU262156:TVY262166 UEQ262156:UFU262166 UOM262156:UPQ262166 UYI262156:UZM262166 VIE262156:VJI262166 VSA262156:VTE262166 WBW262156:WDA262166 WLS262156:WMW262166 WVO262156:WWS262166 E327692:AI327702 JC327692:KG327702 SY327692:UC327702 ACU327692:ADY327702 AMQ327692:ANU327702 AWM327692:AXQ327702 BGI327692:BHM327702 BQE327692:BRI327702 CAA327692:CBE327702 CJW327692:CLA327702 CTS327692:CUW327702 DDO327692:DES327702 DNK327692:DOO327702 DXG327692:DYK327702 EHC327692:EIG327702 EQY327692:ESC327702 FAU327692:FBY327702 FKQ327692:FLU327702 FUM327692:FVQ327702 GEI327692:GFM327702 GOE327692:GPI327702 GYA327692:GZE327702 HHW327692:HJA327702 HRS327692:HSW327702 IBO327692:ICS327702 ILK327692:IMO327702 IVG327692:IWK327702 JFC327692:JGG327702 JOY327692:JQC327702 JYU327692:JZY327702 KIQ327692:KJU327702 KSM327692:KTQ327702 LCI327692:LDM327702 LME327692:LNI327702 LWA327692:LXE327702 MFW327692:MHA327702 MPS327692:MQW327702 MZO327692:NAS327702 NJK327692:NKO327702 NTG327692:NUK327702 ODC327692:OEG327702 OMY327692:OOC327702 OWU327692:OXY327702 PGQ327692:PHU327702 PQM327692:PRQ327702 QAI327692:QBM327702 QKE327692:QLI327702 QUA327692:QVE327702 RDW327692:RFA327702 RNS327692:ROW327702 RXO327692:RYS327702 SHK327692:SIO327702 SRG327692:SSK327702 TBC327692:TCG327702 TKY327692:TMC327702 TUU327692:TVY327702 UEQ327692:UFU327702 UOM327692:UPQ327702 UYI327692:UZM327702 VIE327692:VJI327702 VSA327692:VTE327702 WBW327692:WDA327702 WLS327692:WMW327702 WVO327692:WWS327702 E393228:AI393238 JC393228:KG393238 SY393228:UC393238 ACU393228:ADY393238 AMQ393228:ANU393238 AWM393228:AXQ393238 BGI393228:BHM393238 BQE393228:BRI393238 CAA393228:CBE393238 CJW393228:CLA393238 CTS393228:CUW393238 DDO393228:DES393238 DNK393228:DOO393238 DXG393228:DYK393238 EHC393228:EIG393238 EQY393228:ESC393238 FAU393228:FBY393238 FKQ393228:FLU393238 FUM393228:FVQ393238 GEI393228:GFM393238 GOE393228:GPI393238 GYA393228:GZE393238 HHW393228:HJA393238 HRS393228:HSW393238 IBO393228:ICS393238 ILK393228:IMO393238 IVG393228:IWK393238 JFC393228:JGG393238 JOY393228:JQC393238 JYU393228:JZY393238 KIQ393228:KJU393238 KSM393228:KTQ393238 LCI393228:LDM393238 LME393228:LNI393238 LWA393228:LXE393238 MFW393228:MHA393238 MPS393228:MQW393238 MZO393228:NAS393238 NJK393228:NKO393238 NTG393228:NUK393238 ODC393228:OEG393238 OMY393228:OOC393238 OWU393228:OXY393238 PGQ393228:PHU393238 PQM393228:PRQ393238 QAI393228:QBM393238 QKE393228:QLI393238 QUA393228:QVE393238 RDW393228:RFA393238 RNS393228:ROW393238 RXO393228:RYS393238 SHK393228:SIO393238 SRG393228:SSK393238 TBC393228:TCG393238 TKY393228:TMC393238 TUU393228:TVY393238 UEQ393228:UFU393238 UOM393228:UPQ393238 UYI393228:UZM393238 VIE393228:VJI393238 VSA393228:VTE393238 WBW393228:WDA393238 WLS393228:WMW393238 WVO393228:WWS393238 E458764:AI458774 JC458764:KG458774 SY458764:UC458774 ACU458764:ADY458774 AMQ458764:ANU458774 AWM458764:AXQ458774 BGI458764:BHM458774 BQE458764:BRI458774 CAA458764:CBE458774 CJW458764:CLA458774 CTS458764:CUW458774 DDO458764:DES458774 DNK458764:DOO458774 DXG458764:DYK458774 EHC458764:EIG458774 EQY458764:ESC458774 FAU458764:FBY458774 FKQ458764:FLU458774 FUM458764:FVQ458774 GEI458764:GFM458774 GOE458764:GPI458774 GYA458764:GZE458774 HHW458764:HJA458774 HRS458764:HSW458774 IBO458764:ICS458774 ILK458764:IMO458774 IVG458764:IWK458774 JFC458764:JGG458774 JOY458764:JQC458774 JYU458764:JZY458774 KIQ458764:KJU458774 KSM458764:KTQ458774 LCI458764:LDM458774 LME458764:LNI458774 LWA458764:LXE458774 MFW458764:MHA458774 MPS458764:MQW458774 MZO458764:NAS458774 NJK458764:NKO458774 NTG458764:NUK458774 ODC458764:OEG458774 OMY458764:OOC458774 OWU458764:OXY458774 PGQ458764:PHU458774 PQM458764:PRQ458774 QAI458764:QBM458774 QKE458764:QLI458774 QUA458764:QVE458774 RDW458764:RFA458774 RNS458764:ROW458774 RXO458764:RYS458774 SHK458764:SIO458774 SRG458764:SSK458774 TBC458764:TCG458774 TKY458764:TMC458774 TUU458764:TVY458774 UEQ458764:UFU458774 UOM458764:UPQ458774 UYI458764:UZM458774 VIE458764:VJI458774 VSA458764:VTE458774 WBW458764:WDA458774 WLS458764:WMW458774 WVO458764:WWS458774 E524300:AI524310 JC524300:KG524310 SY524300:UC524310 ACU524300:ADY524310 AMQ524300:ANU524310 AWM524300:AXQ524310 BGI524300:BHM524310 BQE524300:BRI524310 CAA524300:CBE524310 CJW524300:CLA524310 CTS524300:CUW524310 DDO524300:DES524310 DNK524300:DOO524310 DXG524300:DYK524310 EHC524300:EIG524310 EQY524300:ESC524310 FAU524300:FBY524310 FKQ524300:FLU524310 FUM524300:FVQ524310 GEI524300:GFM524310 GOE524300:GPI524310 GYA524300:GZE524310 HHW524300:HJA524310 HRS524300:HSW524310 IBO524300:ICS524310 ILK524300:IMO524310 IVG524300:IWK524310 JFC524300:JGG524310 JOY524300:JQC524310 JYU524300:JZY524310 KIQ524300:KJU524310 KSM524300:KTQ524310 LCI524300:LDM524310 LME524300:LNI524310 LWA524300:LXE524310 MFW524300:MHA524310 MPS524300:MQW524310 MZO524300:NAS524310 NJK524300:NKO524310 NTG524300:NUK524310 ODC524300:OEG524310 OMY524300:OOC524310 OWU524300:OXY524310 PGQ524300:PHU524310 PQM524300:PRQ524310 QAI524300:QBM524310 QKE524300:QLI524310 QUA524300:QVE524310 RDW524300:RFA524310 RNS524300:ROW524310 RXO524300:RYS524310 SHK524300:SIO524310 SRG524300:SSK524310 TBC524300:TCG524310 TKY524300:TMC524310 TUU524300:TVY524310 UEQ524300:UFU524310 UOM524300:UPQ524310 UYI524300:UZM524310 VIE524300:VJI524310 VSA524300:VTE524310 WBW524300:WDA524310 WLS524300:WMW524310 WVO524300:WWS524310 E589836:AI589846 JC589836:KG589846 SY589836:UC589846 ACU589836:ADY589846 AMQ589836:ANU589846 AWM589836:AXQ589846 BGI589836:BHM589846 BQE589836:BRI589846 CAA589836:CBE589846 CJW589836:CLA589846 CTS589836:CUW589846 DDO589836:DES589846 DNK589836:DOO589846 DXG589836:DYK589846 EHC589836:EIG589846 EQY589836:ESC589846 FAU589836:FBY589846 FKQ589836:FLU589846 FUM589836:FVQ589846 GEI589836:GFM589846 GOE589836:GPI589846 GYA589836:GZE589846 HHW589836:HJA589846 HRS589836:HSW589846 IBO589836:ICS589846 ILK589836:IMO589846 IVG589836:IWK589846 JFC589836:JGG589846 JOY589836:JQC589846 JYU589836:JZY589846 KIQ589836:KJU589846 KSM589836:KTQ589846 LCI589836:LDM589846 LME589836:LNI589846 LWA589836:LXE589846 MFW589836:MHA589846 MPS589836:MQW589846 MZO589836:NAS589846 NJK589836:NKO589846 NTG589836:NUK589846 ODC589836:OEG589846 OMY589836:OOC589846 OWU589836:OXY589846 PGQ589836:PHU589846 PQM589836:PRQ589846 QAI589836:QBM589846 QKE589836:QLI589846 QUA589836:QVE589846 RDW589836:RFA589846 RNS589836:ROW589846 RXO589836:RYS589846 SHK589836:SIO589846 SRG589836:SSK589846 TBC589836:TCG589846 TKY589836:TMC589846 TUU589836:TVY589846 UEQ589836:UFU589846 UOM589836:UPQ589846 UYI589836:UZM589846 VIE589836:VJI589846 VSA589836:VTE589846 WBW589836:WDA589846 WLS589836:WMW589846 WVO589836:WWS589846 E655372:AI655382 JC655372:KG655382 SY655372:UC655382 ACU655372:ADY655382 AMQ655372:ANU655382 AWM655372:AXQ655382 BGI655372:BHM655382 BQE655372:BRI655382 CAA655372:CBE655382 CJW655372:CLA655382 CTS655372:CUW655382 DDO655372:DES655382 DNK655372:DOO655382 DXG655372:DYK655382 EHC655372:EIG655382 EQY655372:ESC655382 FAU655372:FBY655382 FKQ655372:FLU655382 FUM655372:FVQ655382 GEI655372:GFM655382 GOE655372:GPI655382 GYA655372:GZE655382 HHW655372:HJA655382 HRS655372:HSW655382 IBO655372:ICS655382 ILK655372:IMO655382 IVG655372:IWK655382 JFC655372:JGG655382 JOY655372:JQC655382 JYU655372:JZY655382 KIQ655372:KJU655382 KSM655372:KTQ655382 LCI655372:LDM655382 LME655372:LNI655382 LWA655372:LXE655382 MFW655372:MHA655382 MPS655372:MQW655382 MZO655372:NAS655382 NJK655372:NKO655382 NTG655372:NUK655382 ODC655372:OEG655382 OMY655372:OOC655382 OWU655372:OXY655382 PGQ655372:PHU655382 PQM655372:PRQ655382 QAI655372:QBM655382 QKE655372:QLI655382 QUA655372:QVE655382 RDW655372:RFA655382 RNS655372:ROW655382 RXO655372:RYS655382 SHK655372:SIO655382 SRG655372:SSK655382 TBC655372:TCG655382 TKY655372:TMC655382 TUU655372:TVY655382 UEQ655372:UFU655382 UOM655372:UPQ655382 UYI655372:UZM655382 VIE655372:VJI655382 VSA655372:VTE655382 WBW655372:WDA655382 WLS655372:WMW655382 WVO655372:WWS655382 E720908:AI720918 JC720908:KG720918 SY720908:UC720918 ACU720908:ADY720918 AMQ720908:ANU720918 AWM720908:AXQ720918 BGI720908:BHM720918 BQE720908:BRI720918 CAA720908:CBE720918 CJW720908:CLA720918 CTS720908:CUW720918 DDO720908:DES720918 DNK720908:DOO720918 DXG720908:DYK720918 EHC720908:EIG720918 EQY720908:ESC720918 FAU720908:FBY720918 FKQ720908:FLU720918 FUM720908:FVQ720918 GEI720908:GFM720918 GOE720908:GPI720918 GYA720908:GZE720918 HHW720908:HJA720918 HRS720908:HSW720918 IBO720908:ICS720918 ILK720908:IMO720918 IVG720908:IWK720918 JFC720908:JGG720918 JOY720908:JQC720918 JYU720908:JZY720918 KIQ720908:KJU720918 KSM720908:KTQ720918 LCI720908:LDM720918 LME720908:LNI720918 LWA720908:LXE720918 MFW720908:MHA720918 MPS720908:MQW720918 MZO720908:NAS720918 NJK720908:NKO720918 NTG720908:NUK720918 ODC720908:OEG720918 OMY720908:OOC720918 OWU720908:OXY720918 PGQ720908:PHU720918 PQM720908:PRQ720918 QAI720908:QBM720918 QKE720908:QLI720918 QUA720908:QVE720918 RDW720908:RFA720918 RNS720908:ROW720918 RXO720908:RYS720918 SHK720908:SIO720918 SRG720908:SSK720918 TBC720908:TCG720918 TKY720908:TMC720918 TUU720908:TVY720918 UEQ720908:UFU720918 UOM720908:UPQ720918 UYI720908:UZM720918 VIE720908:VJI720918 VSA720908:VTE720918 WBW720908:WDA720918 WLS720908:WMW720918 WVO720908:WWS720918 E786444:AI786454 JC786444:KG786454 SY786444:UC786454 ACU786444:ADY786454 AMQ786444:ANU786454 AWM786444:AXQ786454 BGI786444:BHM786454 BQE786444:BRI786454 CAA786444:CBE786454 CJW786444:CLA786454 CTS786444:CUW786454 DDO786444:DES786454 DNK786444:DOO786454 DXG786444:DYK786454 EHC786444:EIG786454 EQY786444:ESC786454 FAU786444:FBY786454 FKQ786444:FLU786454 FUM786444:FVQ786454 GEI786444:GFM786454 GOE786444:GPI786454 GYA786444:GZE786454 HHW786444:HJA786454 HRS786444:HSW786454 IBO786444:ICS786454 ILK786444:IMO786454 IVG786444:IWK786454 JFC786444:JGG786454 JOY786444:JQC786454 JYU786444:JZY786454 KIQ786444:KJU786454 KSM786444:KTQ786454 LCI786444:LDM786454 LME786444:LNI786454 LWA786444:LXE786454 MFW786444:MHA786454 MPS786444:MQW786454 MZO786444:NAS786454 NJK786444:NKO786454 NTG786444:NUK786454 ODC786444:OEG786454 OMY786444:OOC786454 OWU786444:OXY786454 PGQ786444:PHU786454 PQM786444:PRQ786454 QAI786444:QBM786454 QKE786444:QLI786454 QUA786444:QVE786454 RDW786444:RFA786454 RNS786444:ROW786454 RXO786444:RYS786454 SHK786444:SIO786454 SRG786444:SSK786454 TBC786444:TCG786454 TKY786444:TMC786454 TUU786444:TVY786454 UEQ786444:UFU786454 UOM786444:UPQ786454 UYI786444:UZM786454 VIE786444:VJI786454 VSA786444:VTE786454 WBW786444:WDA786454 WLS786444:WMW786454 WVO786444:WWS786454 E851980:AI851990 JC851980:KG851990 SY851980:UC851990 ACU851980:ADY851990 AMQ851980:ANU851990 AWM851980:AXQ851990 BGI851980:BHM851990 BQE851980:BRI851990 CAA851980:CBE851990 CJW851980:CLA851990 CTS851980:CUW851990 DDO851980:DES851990 DNK851980:DOO851990 DXG851980:DYK851990 EHC851980:EIG851990 EQY851980:ESC851990 FAU851980:FBY851990 FKQ851980:FLU851990 FUM851980:FVQ851990 GEI851980:GFM851990 GOE851980:GPI851990 GYA851980:GZE851990 HHW851980:HJA851990 HRS851980:HSW851990 IBO851980:ICS851990 ILK851980:IMO851990 IVG851980:IWK851990 JFC851980:JGG851990 JOY851980:JQC851990 JYU851980:JZY851990 KIQ851980:KJU851990 KSM851980:KTQ851990 LCI851980:LDM851990 LME851980:LNI851990 LWA851980:LXE851990 MFW851980:MHA851990 MPS851980:MQW851990 MZO851980:NAS851990 NJK851980:NKO851990 NTG851980:NUK851990 ODC851980:OEG851990 OMY851980:OOC851990 OWU851980:OXY851990 PGQ851980:PHU851990 PQM851980:PRQ851990 QAI851980:QBM851990 QKE851980:QLI851990 QUA851980:QVE851990 RDW851980:RFA851990 RNS851980:ROW851990 RXO851980:RYS851990 SHK851980:SIO851990 SRG851980:SSK851990 TBC851980:TCG851990 TKY851980:TMC851990 TUU851980:TVY851990 UEQ851980:UFU851990 UOM851980:UPQ851990 UYI851980:UZM851990 VIE851980:VJI851990 VSA851980:VTE851990 WBW851980:WDA851990 WLS851980:WMW851990 WVO851980:WWS851990 E917516:AI917526 JC917516:KG917526 SY917516:UC917526 ACU917516:ADY917526 AMQ917516:ANU917526 AWM917516:AXQ917526 BGI917516:BHM917526 BQE917516:BRI917526 CAA917516:CBE917526 CJW917516:CLA917526 CTS917516:CUW917526 DDO917516:DES917526 DNK917516:DOO917526 DXG917516:DYK917526 EHC917516:EIG917526 EQY917516:ESC917526 FAU917516:FBY917526 FKQ917516:FLU917526 FUM917516:FVQ917526 GEI917516:GFM917526 GOE917516:GPI917526 GYA917516:GZE917526 HHW917516:HJA917526 HRS917516:HSW917526 IBO917516:ICS917526 ILK917516:IMO917526 IVG917516:IWK917526 JFC917516:JGG917526 JOY917516:JQC917526 JYU917516:JZY917526 KIQ917516:KJU917526 KSM917516:KTQ917526 LCI917516:LDM917526 LME917516:LNI917526 LWA917516:LXE917526 MFW917516:MHA917526 MPS917516:MQW917526 MZO917516:NAS917526 NJK917516:NKO917526 NTG917516:NUK917526 ODC917516:OEG917526 OMY917516:OOC917526 OWU917516:OXY917526 PGQ917516:PHU917526 PQM917516:PRQ917526 QAI917516:QBM917526 QKE917516:QLI917526 QUA917516:QVE917526 RDW917516:RFA917526 RNS917516:ROW917526 RXO917516:RYS917526 SHK917516:SIO917526 SRG917516:SSK917526 TBC917516:TCG917526 TKY917516:TMC917526 TUU917516:TVY917526 UEQ917516:UFU917526 UOM917516:UPQ917526 UYI917516:UZM917526 VIE917516:VJI917526 VSA917516:VTE917526 WBW917516:WDA917526 WLS917516:WMW917526 WVO917516:WWS917526 E983052:AI983062 JC983052:KG983062 SY983052:UC983062 ACU983052:ADY983062 AMQ983052:ANU983062 AWM983052:AXQ983062 BGI983052:BHM983062 BQE983052:BRI983062 CAA983052:CBE983062 CJW983052:CLA983062 CTS983052:CUW983062 DDO983052:DES983062 DNK983052:DOO983062 DXG983052:DYK983062 EHC983052:EIG983062 EQY983052:ESC983062 FAU983052:FBY983062 FKQ983052:FLU983062 FUM983052:FVQ983062 GEI983052:GFM983062 GOE983052:GPI983062 GYA983052:GZE983062 HHW983052:HJA983062 HRS983052:HSW983062 IBO983052:ICS983062 ILK983052:IMO983062 IVG983052:IWK983062 JFC983052:JGG983062 JOY983052:JQC983062 JYU983052:JZY983062 KIQ983052:KJU983062 KSM983052:KTQ983062 LCI983052:LDM983062 LME983052:LNI983062 LWA983052:LXE983062 MFW983052:MHA983062 MPS983052:MQW983062 MZO983052:NAS983062 NJK983052:NKO983062 NTG983052:NUK983062 ODC983052:OEG983062 OMY983052:OOC983062 OWU983052:OXY983062 PGQ983052:PHU983062 PQM983052:PRQ983062 QAI983052:QBM983062 QKE983052:QLI983062 QUA983052:QVE983062 RDW983052:RFA983062 RNS983052:ROW983062 RXO983052:RYS983062 SHK983052:SIO983062 SRG983052:SSK983062 TBC983052:TCG983062 TKY983052:TMC983062 TUU983052:TVY983062 UEQ983052:UFU983062 UOM983052:UPQ983062 UYI983052:UZM983062 VIE983052:VJI983062 VSA983052:VTE983062 WBW983052:WDA983062 WLS983052:WMW983062 E11:W12 E9:I10 X10:AI12 E14:AI18 J10:W10 E20:AI21" xr:uid="{F7446C1E-D8C2-49AE-A32B-A157DF1FEB00}">
      <formula1>$D$28:$D$32</formula1>
    </dataValidation>
    <dataValidation type="list" allowBlank="1" showInputMessage="1" showErrorMessage="1" sqref="JN3:JN4 TJ3:TJ4 ADF3:ADF4 ANB3:ANB4 AWX3:AWX4 BGT3:BGT4 BQP3:BQP4 CAL3:CAL4 CKH3:CKH4 CUD3:CUD4 DDZ3:DDZ4 DNV3:DNV4 DXR3:DXR4 EHN3:EHN4 ERJ3:ERJ4 FBF3:FBF4 FLB3:FLB4 FUX3:FUX4 GET3:GET4 GOP3:GOP4 GYL3:GYL4 HIH3:HIH4 HSD3:HSD4 IBZ3:IBZ4 ILV3:ILV4 IVR3:IVR4 JFN3:JFN4 JPJ3:JPJ4 JZF3:JZF4 KJB3:KJB4 KSX3:KSX4 LCT3:LCT4 LMP3:LMP4 LWL3:LWL4 MGH3:MGH4 MQD3:MQD4 MZZ3:MZZ4 NJV3:NJV4 NTR3:NTR4 ODN3:ODN4 ONJ3:ONJ4 OXF3:OXF4 PHB3:PHB4 PQX3:PQX4 QAT3:QAT4 QKP3:QKP4 QUL3:QUL4 REH3:REH4 ROD3:ROD4 RXZ3:RXZ4 SHV3:SHV4 SRR3:SRR4 TBN3:TBN4 TLJ3:TLJ4 TVF3:TVF4 UFB3:UFB4 UOX3:UOX4 UYT3:UYT4 VIP3:VIP4 VSL3:VSL4 WCH3:WCH4 WMD3:WMD4 WVZ3:WVZ4 P65543:P65544 JN65543:JN65544 TJ65543:TJ65544 ADF65543:ADF65544 ANB65543:ANB65544 AWX65543:AWX65544 BGT65543:BGT65544 BQP65543:BQP65544 CAL65543:CAL65544 CKH65543:CKH65544 CUD65543:CUD65544 DDZ65543:DDZ65544 DNV65543:DNV65544 DXR65543:DXR65544 EHN65543:EHN65544 ERJ65543:ERJ65544 FBF65543:FBF65544 FLB65543:FLB65544 FUX65543:FUX65544 GET65543:GET65544 GOP65543:GOP65544 GYL65543:GYL65544 HIH65543:HIH65544 HSD65543:HSD65544 IBZ65543:IBZ65544 ILV65543:ILV65544 IVR65543:IVR65544 JFN65543:JFN65544 JPJ65543:JPJ65544 JZF65543:JZF65544 KJB65543:KJB65544 KSX65543:KSX65544 LCT65543:LCT65544 LMP65543:LMP65544 LWL65543:LWL65544 MGH65543:MGH65544 MQD65543:MQD65544 MZZ65543:MZZ65544 NJV65543:NJV65544 NTR65543:NTR65544 ODN65543:ODN65544 ONJ65543:ONJ65544 OXF65543:OXF65544 PHB65543:PHB65544 PQX65543:PQX65544 QAT65543:QAT65544 QKP65543:QKP65544 QUL65543:QUL65544 REH65543:REH65544 ROD65543:ROD65544 RXZ65543:RXZ65544 SHV65543:SHV65544 SRR65543:SRR65544 TBN65543:TBN65544 TLJ65543:TLJ65544 TVF65543:TVF65544 UFB65543:UFB65544 UOX65543:UOX65544 UYT65543:UYT65544 VIP65543:VIP65544 VSL65543:VSL65544 WCH65543:WCH65544 WMD65543:WMD65544 WVZ65543:WVZ65544 P131079:P131080 JN131079:JN131080 TJ131079:TJ131080 ADF131079:ADF131080 ANB131079:ANB131080 AWX131079:AWX131080 BGT131079:BGT131080 BQP131079:BQP131080 CAL131079:CAL131080 CKH131079:CKH131080 CUD131079:CUD131080 DDZ131079:DDZ131080 DNV131079:DNV131080 DXR131079:DXR131080 EHN131079:EHN131080 ERJ131079:ERJ131080 FBF131079:FBF131080 FLB131079:FLB131080 FUX131079:FUX131080 GET131079:GET131080 GOP131079:GOP131080 GYL131079:GYL131080 HIH131079:HIH131080 HSD131079:HSD131080 IBZ131079:IBZ131080 ILV131079:ILV131080 IVR131079:IVR131080 JFN131079:JFN131080 JPJ131079:JPJ131080 JZF131079:JZF131080 KJB131079:KJB131080 KSX131079:KSX131080 LCT131079:LCT131080 LMP131079:LMP131080 LWL131079:LWL131080 MGH131079:MGH131080 MQD131079:MQD131080 MZZ131079:MZZ131080 NJV131079:NJV131080 NTR131079:NTR131080 ODN131079:ODN131080 ONJ131079:ONJ131080 OXF131079:OXF131080 PHB131079:PHB131080 PQX131079:PQX131080 QAT131079:QAT131080 QKP131079:QKP131080 QUL131079:QUL131080 REH131079:REH131080 ROD131079:ROD131080 RXZ131079:RXZ131080 SHV131079:SHV131080 SRR131079:SRR131080 TBN131079:TBN131080 TLJ131079:TLJ131080 TVF131079:TVF131080 UFB131079:UFB131080 UOX131079:UOX131080 UYT131079:UYT131080 VIP131079:VIP131080 VSL131079:VSL131080 WCH131079:WCH131080 WMD131079:WMD131080 WVZ131079:WVZ131080 P196615:P196616 JN196615:JN196616 TJ196615:TJ196616 ADF196615:ADF196616 ANB196615:ANB196616 AWX196615:AWX196616 BGT196615:BGT196616 BQP196615:BQP196616 CAL196615:CAL196616 CKH196615:CKH196616 CUD196615:CUD196616 DDZ196615:DDZ196616 DNV196615:DNV196616 DXR196615:DXR196616 EHN196615:EHN196616 ERJ196615:ERJ196616 FBF196615:FBF196616 FLB196615:FLB196616 FUX196615:FUX196616 GET196615:GET196616 GOP196615:GOP196616 GYL196615:GYL196616 HIH196615:HIH196616 HSD196615:HSD196616 IBZ196615:IBZ196616 ILV196615:ILV196616 IVR196615:IVR196616 JFN196615:JFN196616 JPJ196615:JPJ196616 JZF196615:JZF196616 KJB196615:KJB196616 KSX196615:KSX196616 LCT196615:LCT196616 LMP196615:LMP196616 LWL196615:LWL196616 MGH196615:MGH196616 MQD196615:MQD196616 MZZ196615:MZZ196616 NJV196615:NJV196616 NTR196615:NTR196616 ODN196615:ODN196616 ONJ196615:ONJ196616 OXF196615:OXF196616 PHB196615:PHB196616 PQX196615:PQX196616 QAT196615:QAT196616 QKP196615:QKP196616 QUL196615:QUL196616 REH196615:REH196616 ROD196615:ROD196616 RXZ196615:RXZ196616 SHV196615:SHV196616 SRR196615:SRR196616 TBN196615:TBN196616 TLJ196615:TLJ196616 TVF196615:TVF196616 UFB196615:UFB196616 UOX196615:UOX196616 UYT196615:UYT196616 VIP196615:VIP196616 VSL196615:VSL196616 WCH196615:WCH196616 WMD196615:WMD196616 WVZ196615:WVZ196616 P262151:P262152 JN262151:JN262152 TJ262151:TJ262152 ADF262151:ADF262152 ANB262151:ANB262152 AWX262151:AWX262152 BGT262151:BGT262152 BQP262151:BQP262152 CAL262151:CAL262152 CKH262151:CKH262152 CUD262151:CUD262152 DDZ262151:DDZ262152 DNV262151:DNV262152 DXR262151:DXR262152 EHN262151:EHN262152 ERJ262151:ERJ262152 FBF262151:FBF262152 FLB262151:FLB262152 FUX262151:FUX262152 GET262151:GET262152 GOP262151:GOP262152 GYL262151:GYL262152 HIH262151:HIH262152 HSD262151:HSD262152 IBZ262151:IBZ262152 ILV262151:ILV262152 IVR262151:IVR262152 JFN262151:JFN262152 JPJ262151:JPJ262152 JZF262151:JZF262152 KJB262151:KJB262152 KSX262151:KSX262152 LCT262151:LCT262152 LMP262151:LMP262152 LWL262151:LWL262152 MGH262151:MGH262152 MQD262151:MQD262152 MZZ262151:MZZ262152 NJV262151:NJV262152 NTR262151:NTR262152 ODN262151:ODN262152 ONJ262151:ONJ262152 OXF262151:OXF262152 PHB262151:PHB262152 PQX262151:PQX262152 QAT262151:QAT262152 QKP262151:QKP262152 QUL262151:QUL262152 REH262151:REH262152 ROD262151:ROD262152 RXZ262151:RXZ262152 SHV262151:SHV262152 SRR262151:SRR262152 TBN262151:TBN262152 TLJ262151:TLJ262152 TVF262151:TVF262152 UFB262151:UFB262152 UOX262151:UOX262152 UYT262151:UYT262152 VIP262151:VIP262152 VSL262151:VSL262152 WCH262151:WCH262152 WMD262151:WMD262152 WVZ262151:WVZ262152 P327687:P327688 JN327687:JN327688 TJ327687:TJ327688 ADF327687:ADF327688 ANB327687:ANB327688 AWX327687:AWX327688 BGT327687:BGT327688 BQP327687:BQP327688 CAL327687:CAL327688 CKH327687:CKH327688 CUD327687:CUD327688 DDZ327687:DDZ327688 DNV327687:DNV327688 DXR327687:DXR327688 EHN327687:EHN327688 ERJ327687:ERJ327688 FBF327687:FBF327688 FLB327687:FLB327688 FUX327687:FUX327688 GET327687:GET327688 GOP327687:GOP327688 GYL327687:GYL327688 HIH327687:HIH327688 HSD327687:HSD327688 IBZ327687:IBZ327688 ILV327687:ILV327688 IVR327687:IVR327688 JFN327687:JFN327688 JPJ327687:JPJ327688 JZF327687:JZF327688 KJB327687:KJB327688 KSX327687:KSX327688 LCT327687:LCT327688 LMP327687:LMP327688 LWL327687:LWL327688 MGH327687:MGH327688 MQD327687:MQD327688 MZZ327687:MZZ327688 NJV327687:NJV327688 NTR327687:NTR327688 ODN327687:ODN327688 ONJ327687:ONJ327688 OXF327687:OXF327688 PHB327687:PHB327688 PQX327687:PQX327688 QAT327687:QAT327688 QKP327687:QKP327688 QUL327687:QUL327688 REH327687:REH327688 ROD327687:ROD327688 RXZ327687:RXZ327688 SHV327687:SHV327688 SRR327687:SRR327688 TBN327687:TBN327688 TLJ327687:TLJ327688 TVF327687:TVF327688 UFB327687:UFB327688 UOX327687:UOX327688 UYT327687:UYT327688 VIP327687:VIP327688 VSL327687:VSL327688 WCH327687:WCH327688 WMD327687:WMD327688 WVZ327687:WVZ327688 P393223:P393224 JN393223:JN393224 TJ393223:TJ393224 ADF393223:ADF393224 ANB393223:ANB393224 AWX393223:AWX393224 BGT393223:BGT393224 BQP393223:BQP393224 CAL393223:CAL393224 CKH393223:CKH393224 CUD393223:CUD393224 DDZ393223:DDZ393224 DNV393223:DNV393224 DXR393223:DXR393224 EHN393223:EHN393224 ERJ393223:ERJ393224 FBF393223:FBF393224 FLB393223:FLB393224 FUX393223:FUX393224 GET393223:GET393224 GOP393223:GOP393224 GYL393223:GYL393224 HIH393223:HIH393224 HSD393223:HSD393224 IBZ393223:IBZ393224 ILV393223:ILV393224 IVR393223:IVR393224 JFN393223:JFN393224 JPJ393223:JPJ393224 JZF393223:JZF393224 KJB393223:KJB393224 KSX393223:KSX393224 LCT393223:LCT393224 LMP393223:LMP393224 LWL393223:LWL393224 MGH393223:MGH393224 MQD393223:MQD393224 MZZ393223:MZZ393224 NJV393223:NJV393224 NTR393223:NTR393224 ODN393223:ODN393224 ONJ393223:ONJ393224 OXF393223:OXF393224 PHB393223:PHB393224 PQX393223:PQX393224 QAT393223:QAT393224 QKP393223:QKP393224 QUL393223:QUL393224 REH393223:REH393224 ROD393223:ROD393224 RXZ393223:RXZ393224 SHV393223:SHV393224 SRR393223:SRR393224 TBN393223:TBN393224 TLJ393223:TLJ393224 TVF393223:TVF393224 UFB393223:UFB393224 UOX393223:UOX393224 UYT393223:UYT393224 VIP393223:VIP393224 VSL393223:VSL393224 WCH393223:WCH393224 WMD393223:WMD393224 WVZ393223:WVZ393224 P458759:P458760 JN458759:JN458760 TJ458759:TJ458760 ADF458759:ADF458760 ANB458759:ANB458760 AWX458759:AWX458760 BGT458759:BGT458760 BQP458759:BQP458760 CAL458759:CAL458760 CKH458759:CKH458760 CUD458759:CUD458760 DDZ458759:DDZ458760 DNV458759:DNV458760 DXR458759:DXR458760 EHN458759:EHN458760 ERJ458759:ERJ458760 FBF458759:FBF458760 FLB458759:FLB458760 FUX458759:FUX458760 GET458759:GET458760 GOP458759:GOP458760 GYL458759:GYL458760 HIH458759:HIH458760 HSD458759:HSD458760 IBZ458759:IBZ458760 ILV458759:ILV458760 IVR458759:IVR458760 JFN458759:JFN458760 JPJ458759:JPJ458760 JZF458759:JZF458760 KJB458759:KJB458760 KSX458759:KSX458760 LCT458759:LCT458760 LMP458759:LMP458760 LWL458759:LWL458760 MGH458759:MGH458760 MQD458759:MQD458760 MZZ458759:MZZ458760 NJV458759:NJV458760 NTR458759:NTR458760 ODN458759:ODN458760 ONJ458759:ONJ458760 OXF458759:OXF458760 PHB458759:PHB458760 PQX458759:PQX458760 QAT458759:QAT458760 QKP458759:QKP458760 QUL458759:QUL458760 REH458759:REH458760 ROD458759:ROD458760 RXZ458759:RXZ458760 SHV458759:SHV458760 SRR458759:SRR458760 TBN458759:TBN458760 TLJ458759:TLJ458760 TVF458759:TVF458760 UFB458759:UFB458760 UOX458759:UOX458760 UYT458759:UYT458760 VIP458759:VIP458760 VSL458759:VSL458760 WCH458759:WCH458760 WMD458759:WMD458760 WVZ458759:WVZ458760 P524295:P524296 JN524295:JN524296 TJ524295:TJ524296 ADF524295:ADF524296 ANB524295:ANB524296 AWX524295:AWX524296 BGT524295:BGT524296 BQP524295:BQP524296 CAL524295:CAL524296 CKH524295:CKH524296 CUD524295:CUD524296 DDZ524295:DDZ524296 DNV524295:DNV524296 DXR524295:DXR524296 EHN524295:EHN524296 ERJ524295:ERJ524296 FBF524295:FBF524296 FLB524295:FLB524296 FUX524295:FUX524296 GET524295:GET524296 GOP524295:GOP524296 GYL524295:GYL524296 HIH524295:HIH524296 HSD524295:HSD524296 IBZ524295:IBZ524296 ILV524295:ILV524296 IVR524295:IVR524296 JFN524295:JFN524296 JPJ524295:JPJ524296 JZF524295:JZF524296 KJB524295:KJB524296 KSX524295:KSX524296 LCT524295:LCT524296 LMP524295:LMP524296 LWL524295:LWL524296 MGH524295:MGH524296 MQD524295:MQD524296 MZZ524295:MZZ524296 NJV524295:NJV524296 NTR524295:NTR524296 ODN524295:ODN524296 ONJ524295:ONJ524296 OXF524295:OXF524296 PHB524295:PHB524296 PQX524295:PQX524296 QAT524295:QAT524296 QKP524295:QKP524296 QUL524295:QUL524296 REH524295:REH524296 ROD524295:ROD524296 RXZ524295:RXZ524296 SHV524295:SHV524296 SRR524295:SRR524296 TBN524295:TBN524296 TLJ524295:TLJ524296 TVF524295:TVF524296 UFB524295:UFB524296 UOX524295:UOX524296 UYT524295:UYT524296 VIP524295:VIP524296 VSL524295:VSL524296 WCH524295:WCH524296 WMD524295:WMD524296 WVZ524295:WVZ524296 P589831:P589832 JN589831:JN589832 TJ589831:TJ589832 ADF589831:ADF589832 ANB589831:ANB589832 AWX589831:AWX589832 BGT589831:BGT589832 BQP589831:BQP589832 CAL589831:CAL589832 CKH589831:CKH589832 CUD589831:CUD589832 DDZ589831:DDZ589832 DNV589831:DNV589832 DXR589831:DXR589832 EHN589831:EHN589832 ERJ589831:ERJ589832 FBF589831:FBF589832 FLB589831:FLB589832 FUX589831:FUX589832 GET589831:GET589832 GOP589831:GOP589832 GYL589831:GYL589832 HIH589831:HIH589832 HSD589831:HSD589832 IBZ589831:IBZ589832 ILV589831:ILV589832 IVR589831:IVR589832 JFN589831:JFN589832 JPJ589831:JPJ589832 JZF589831:JZF589832 KJB589831:KJB589832 KSX589831:KSX589832 LCT589831:LCT589832 LMP589831:LMP589832 LWL589831:LWL589832 MGH589831:MGH589832 MQD589831:MQD589832 MZZ589831:MZZ589832 NJV589831:NJV589832 NTR589831:NTR589832 ODN589831:ODN589832 ONJ589831:ONJ589832 OXF589831:OXF589832 PHB589831:PHB589832 PQX589831:PQX589832 QAT589831:QAT589832 QKP589831:QKP589832 QUL589831:QUL589832 REH589831:REH589832 ROD589831:ROD589832 RXZ589831:RXZ589832 SHV589831:SHV589832 SRR589831:SRR589832 TBN589831:TBN589832 TLJ589831:TLJ589832 TVF589831:TVF589832 UFB589831:UFB589832 UOX589831:UOX589832 UYT589831:UYT589832 VIP589831:VIP589832 VSL589831:VSL589832 WCH589831:WCH589832 WMD589831:WMD589832 WVZ589831:WVZ589832 P655367:P655368 JN655367:JN655368 TJ655367:TJ655368 ADF655367:ADF655368 ANB655367:ANB655368 AWX655367:AWX655368 BGT655367:BGT655368 BQP655367:BQP655368 CAL655367:CAL655368 CKH655367:CKH655368 CUD655367:CUD655368 DDZ655367:DDZ655368 DNV655367:DNV655368 DXR655367:DXR655368 EHN655367:EHN655368 ERJ655367:ERJ655368 FBF655367:FBF655368 FLB655367:FLB655368 FUX655367:FUX655368 GET655367:GET655368 GOP655367:GOP655368 GYL655367:GYL655368 HIH655367:HIH655368 HSD655367:HSD655368 IBZ655367:IBZ655368 ILV655367:ILV655368 IVR655367:IVR655368 JFN655367:JFN655368 JPJ655367:JPJ655368 JZF655367:JZF655368 KJB655367:KJB655368 KSX655367:KSX655368 LCT655367:LCT655368 LMP655367:LMP655368 LWL655367:LWL655368 MGH655367:MGH655368 MQD655367:MQD655368 MZZ655367:MZZ655368 NJV655367:NJV655368 NTR655367:NTR655368 ODN655367:ODN655368 ONJ655367:ONJ655368 OXF655367:OXF655368 PHB655367:PHB655368 PQX655367:PQX655368 QAT655367:QAT655368 QKP655367:QKP655368 QUL655367:QUL655368 REH655367:REH655368 ROD655367:ROD655368 RXZ655367:RXZ655368 SHV655367:SHV655368 SRR655367:SRR655368 TBN655367:TBN655368 TLJ655367:TLJ655368 TVF655367:TVF655368 UFB655367:UFB655368 UOX655367:UOX655368 UYT655367:UYT655368 VIP655367:VIP655368 VSL655367:VSL655368 WCH655367:WCH655368 WMD655367:WMD655368 WVZ655367:WVZ655368 P720903:P720904 JN720903:JN720904 TJ720903:TJ720904 ADF720903:ADF720904 ANB720903:ANB720904 AWX720903:AWX720904 BGT720903:BGT720904 BQP720903:BQP720904 CAL720903:CAL720904 CKH720903:CKH720904 CUD720903:CUD720904 DDZ720903:DDZ720904 DNV720903:DNV720904 DXR720903:DXR720904 EHN720903:EHN720904 ERJ720903:ERJ720904 FBF720903:FBF720904 FLB720903:FLB720904 FUX720903:FUX720904 GET720903:GET720904 GOP720903:GOP720904 GYL720903:GYL720904 HIH720903:HIH720904 HSD720903:HSD720904 IBZ720903:IBZ720904 ILV720903:ILV720904 IVR720903:IVR720904 JFN720903:JFN720904 JPJ720903:JPJ720904 JZF720903:JZF720904 KJB720903:KJB720904 KSX720903:KSX720904 LCT720903:LCT720904 LMP720903:LMP720904 LWL720903:LWL720904 MGH720903:MGH720904 MQD720903:MQD720904 MZZ720903:MZZ720904 NJV720903:NJV720904 NTR720903:NTR720904 ODN720903:ODN720904 ONJ720903:ONJ720904 OXF720903:OXF720904 PHB720903:PHB720904 PQX720903:PQX720904 QAT720903:QAT720904 QKP720903:QKP720904 QUL720903:QUL720904 REH720903:REH720904 ROD720903:ROD720904 RXZ720903:RXZ720904 SHV720903:SHV720904 SRR720903:SRR720904 TBN720903:TBN720904 TLJ720903:TLJ720904 TVF720903:TVF720904 UFB720903:UFB720904 UOX720903:UOX720904 UYT720903:UYT720904 VIP720903:VIP720904 VSL720903:VSL720904 WCH720903:WCH720904 WMD720903:WMD720904 WVZ720903:WVZ720904 P786439:P786440 JN786439:JN786440 TJ786439:TJ786440 ADF786439:ADF786440 ANB786439:ANB786440 AWX786439:AWX786440 BGT786439:BGT786440 BQP786439:BQP786440 CAL786439:CAL786440 CKH786439:CKH786440 CUD786439:CUD786440 DDZ786439:DDZ786440 DNV786439:DNV786440 DXR786439:DXR786440 EHN786439:EHN786440 ERJ786439:ERJ786440 FBF786439:FBF786440 FLB786439:FLB786440 FUX786439:FUX786440 GET786439:GET786440 GOP786439:GOP786440 GYL786439:GYL786440 HIH786439:HIH786440 HSD786439:HSD786440 IBZ786439:IBZ786440 ILV786439:ILV786440 IVR786439:IVR786440 JFN786439:JFN786440 JPJ786439:JPJ786440 JZF786439:JZF786440 KJB786439:KJB786440 KSX786439:KSX786440 LCT786439:LCT786440 LMP786439:LMP786440 LWL786439:LWL786440 MGH786439:MGH786440 MQD786439:MQD786440 MZZ786439:MZZ786440 NJV786439:NJV786440 NTR786439:NTR786440 ODN786439:ODN786440 ONJ786439:ONJ786440 OXF786439:OXF786440 PHB786439:PHB786440 PQX786439:PQX786440 QAT786439:QAT786440 QKP786439:QKP786440 QUL786439:QUL786440 REH786439:REH786440 ROD786439:ROD786440 RXZ786439:RXZ786440 SHV786439:SHV786440 SRR786439:SRR786440 TBN786439:TBN786440 TLJ786439:TLJ786440 TVF786439:TVF786440 UFB786439:UFB786440 UOX786439:UOX786440 UYT786439:UYT786440 VIP786439:VIP786440 VSL786439:VSL786440 WCH786439:WCH786440 WMD786439:WMD786440 WVZ786439:WVZ786440 P851975:P851976 JN851975:JN851976 TJ851975:TJ851976 ADF851975:ADF851976 ANB851975:ANB851976 AWX851975:AWX851976 BGT851975:BGT851976 BQP851975:BQP851976 CAL851975:CAL851976 CKH851975:CKH851976 CUD851975:CUD851976 DDZ851975:DDZ851976 DNV851975:DNV851976 DXR851975:DXR851976 EHN851975:EHN851976 ERJ851975:ERJ851976 FBF851975:FBF851976 FLB851975:FLB851976 FUX851975:FUX851976 GET851975:GET851976 GOP851975:GOP851976 GYL851975:GYL851976 HIH851975:HIH851976 HSD851975:HSD851976 IBZ851975:IBZ851976 ILV851975:ILV851976 IVR851975:IVR851976 JFN851975:JFN851976 JPJ851975:JPJ851976 JZF851975:JZF851976 KJB851975:KJB851976 KSX851975:KSX851976 LCT851975:LCT851976 LMP851975:LMP851976 LWL851975:LWL851976 MGH851975:MGH851976 MQD851975:MQD851976 MZZ851975:MZZ851976 NJV851975:NJV851976 NTR851975:NTR851976 ODN851975:ODN851976 ONJ851975:ONJ851976 OXF851975:OXF851976 PHB851975:PHB851976 PQX851975:PQX851976 QAT851975:QAT851976 QKP851975:QKP851976 QUL851975:QUL851976 REH851975:REH851976 ROD851975:ROD851976 RXZ851975:RXZ851976 SHV851975:SHV851976 SRR851975:SRR851976 TBN851975:TBN851976 TLJ851975:TLJ851976 TVF851975:TVF851976 UFB851975:UFB851976 UOX851975:UOX851976 UYT851975:UYT851976 VIP851975:VIP851976 VSL851975:VSL851976 WCH851975:WCH851976 WMD851975:WMD851976 WVZ851975:WVZ851976 P917511:P917512 JN917511:JN917512 TJ917511:TJ917512 ADF917511:ADF917512 ANB917511:ANB917512 AWX917511:AWX917512 BGT917511:BGT917512 BQP917511:BQP917512 CAL917511:CAL917512 CKH917511:CKH917512 CUD917511:CUD917512 DDZ917511:DDZ917512 DNV917511:DNV917512 DXR917511:DXR917512 EHN917511:EHN917512 ERJ917511:ERJ917512 FBF917511:FBF917512 FLB917511:FLB917512 FUX917511:FUX917512 GET917511:GET917512 GOP917511:GOP917512 GYL917511:GYL917512 HIH917511:HIH917512 HSD917511:HSD917512 IBZ917511:IBZ917512 ILV917511:ILV917512 IVR917511:IVR917512 JFN917511:JFN917512 JPJ917511:JPJ917512 JZF917511:JZF917512 KJB917511:KJB917512 KSX917511:KSX917512 LCT917511:LCT917512 LMP917511:LMP917512 LWL917511:LWL917512 MGH917511:MGH917512 MQD917511:MQD917512 MZZ917511:MZZ917512 NJV917511:NJV917512 NTR917511:NTR917512 ODN917511:ODN917512 ONJ917511:ONJ917512 OXF917511:OXF917512 PHB917511:PHB917512 PQX917511:PQX917512 QAT917511:QAT917512 QKP917511:QKP917512 QUL917511:QUL917512 REH917511:REH917512 ROD917511:ROD917512 RXZ917511:RXZ917512 SHV917511:SHV917512 SRR917511:SRR917512 TBN917511:TBN917512 TLJ917511:TLJ917512 TVF917511:TVF917512 UFB917511:UFB917512 UOX917511:UOX917512 UYT917511:UYT917512 VIP917511:VIP917512 VSL917511:VSL917512 WCH917511:WCH917512 WMD917511:WMD917512 WVZ917511:WVZ917512 P983047:P983048 JN983047:JN983048 TJ983047:TJ983048 ADF983047:ADF983048 ANB983047:ANB983048 AWX983047:AWX983048 BGT983047:BGT983048 BQP983047:BQP983048 CAL983047:CAL983048 CKH983047:CKH983048 CUD983047:CUD983048 DDZ983047:DDZ983048 DNV983047:DNV983048 DXR983047:DXR983048 EHN983047:EHN983048 ERJ983047:ERJ983048 FBF983047:FBF983048 FLB983047:FLB983048 FUX983047:FUX983048 GET983047:GET983048 GOP983047:GOP983048 GYL983047:GYL983048 HIH983047:HIH983048 HSD983047:HSD983048 IBZ983047:IBZ983048 ILV983047:ILV983048 IVR983047:IVR983048 JFN983047:JFN983048 JPJ983047:JPJ983048 JZF983047:JZF983048 KJB983047:KJB983048 KSX983047:KSX983048 LCT983047:LCT983048 LMP983047:LMP983048 LWL983047:LWL983048 MGH983047:MGH983048 MQD983047:MQD983048 MZZ983047:MZZ983048 NJV983047:NJV983048 NTR983047:NTR983048 ODN983047:ODN983048 ONJ983047:ONJ983048 OXF983047:OXF983048 PHB983047:PHB983048 PQX983047:PQX983048 QAT983047:QAT983048 QKP983047:QKP983048 QUL983047:QUL983048 REH983047:REH983048 ROD983047:ROD983048 RXZ983047:RXZ983048 SHV983047:SHV983048 SRR983047:SRR983048 TBN983047:TBN983048 TLJ983047:TLJ983048 TVF983047:TVF983048 UFB983047:UFB983048 UOX983047:UOX983048 UYT983047:UYT983048 VIP983047:VIP983048 VSL983047:VSL983048 WCH983047:WCH983048 WMD983047:WMD983048 WVZ983047:WVZ983048 S3 P4" xr:uid="{7E73B7DB-6959-4898-AD41-6756A11D79C6}">
      <formula1>"01,02,03,04,05,06,07,08,09,10,11,12"</formula1>
    </dataValidation>
  </dataValidations>
  <printOptions horizontalCentered="1"/>
  <pageMargins left="0.19685039370078741" right="0.19685039370078741" top="0.39370078740157483" bottom="0.19685039370078741" header="0" footer="0"/>
  <pageSetup paperSize="9" scale="76" firstPageNumber="4294963191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3BB5D-143C-4F4B-94E8-7CC055785CCB}">
  <sheetPr>
    <tabColor theme="8"/>
    <pageSetUpPr fitToPage="1"/>
  </sheetPr>
  <dimension ref="A2:V26"/>
  <sheetViews>
    <sheetView showGridLines="0" topLeftCell="A3" zoomScale="80" zoomScaleNormal="80" workbookViewId="0">
      <selection activeCell="C4" sqref="C4"/>
    </sheetView>
  </sheetViews>
  <sheetFormatPr defaultColWidth="13.81640625" defaultRowHeight="15" customHeight="1" x14ac:dyDescent="0.3"/>
  <cols>
    <col min="1" max="1" width="4.90625" style="9" bestFit="1" customWidth="1"/>
    <col min="2" max="2" width="8.6328125" style="9" customWidth="1"/>
    <col min="3" max="3" width="16.453125" style="9" bestFit="1" customWidth="1"/>
    <col min="4" max="4" width="7.90625" style="9" customWidth="1"/>
    <col min="5" max="5" width="10.90625" style="34" customWidth="1"/>
    <col min="6" max="6" width="8" style="9" customWidth="1"/>
    <col min="7" max="7" width="10.90625" style="9" customWidth="1"/>
    <col min="8" max="8" width="9.6328125" style="9" customWidth="1"/>
    <col min="9" max="9" width="8" style="34" customWidth="1"/>
    <col min="10" max="10" width="11.08984375" style="9" customWidth="1"/>
    <col min="11" max="11" width="10.26953125" style="34" customWidth="1"/>
    <col min="12" max="12" width="10.81640625" style="34" customWidth="1"/>
    <col min="13" max="13" width="10.90625" style="9" customWidth="1"/>
    <col min="14" max="15" width="7.7265625" style="9" bestFit="1" customWidth="1"/>
    <col min="16" max="16" width="9.08984375" style="9" customWidth="1"/>
    <col min="17" max="17" width="6.90625" style="9" customWidth="1"/>
    <col min="18" max="18" width="10.36328125" style="9" bestFit="1" customWidth="1"/>
    <col min="19" max="19" width="9.81640625" style="9" customWidth="1"/>
    <col min="20" max="20" width="8.1796875" style="9" customWidth="1"/>
    <col min="21" max="21" width="7.1796875" style="9" customWidth="1"/>
    <col min="22" max="22" width="11.81640625" style="34" customWidth="1"/>
    <col min="23" max="38" width="9.81640625" style="9" customWidth="1"/>
    <col min="39" max="39" width="21.1796875" style="9" customWidth="1"/>
    <col min="40" max="62" width="9.81640625" style="9" customWidth="1"/>
    <col min="63" max="16384" width="13.81640625" style="9"/>
  </cols>
  <sheetData>
    <row r="2" spans="1:22" ht="27.75" customHeight="1" x14ac:dyDescent="0.3">
      <c r="A2" s="37"/>
      <c r="B2" s="2" t="s">
        <v>61</v>
      </c>
      <c r="C2" s="10"/>
      <c r="D2" s="10"/>
      <c r="E2" s="10"/>
      <c r="F2" s="10"/>
      <c r="G2" s="224" t="s">
        <v>121</v>
      </c>
      <c r="H2" s="224"/>
      <c r="I2" s="224"/>
      <c r="J2" s="224"/>
      <c r="K2" s="224"/>
      <c r="L2" s="224"/>
      <c r="M2" s="303"/>
      <c r="N2" s="303"/>
      <c r="O2" s="303"/>
      <c r="P2" s="10"/>
      <c r="Q2" s="10"/>
      <c r="R2" s="10"/>
      <c r="S2" s="10"/>
      <c r="T2" s="11"/>
      <c r="U2" s="12"/>
      <c r="V2" s="13"/>
    </row>
    <row r="3" spans="1:22" ht="35.5" customHeight="1" x14ac:dyDescent="0.3">
      <c r="A3" s="3"/>
      <c r="B3" s="332" t="e" vm="1">
        <v>#VALUE!</v>
      </c>
      <c r="C3" s="332"/>
      <c r="D3" s="332"/>
      <c r="E3" s="332"/>
      <c r="F3" s="5"/>
      <c r="G3" s="304">
        <f>'CHAM CONG'!C4</f>
        <v>45505</v>
      </c>
      <c r="H3" s="304"/>
      <c r="I3" s="304"/>
      <c r="J3" s="304"/>
      <c r="K3" s="304"/>
      <c r="L3" s="304"/>
      <c r="M3" s="5"/>
      <c r="N3" s="5"/>
      <c r="O3" s="5"/>
      <c r="P3" s="5"/>
      <c r="Q3" s="5"/>
      <c r="R3" s="5"/>
      <c r="S3" s="5"/>
      <c r="T3" s="11"/>
      <c r="U3" s="12"/>
      <c r="V3" s="13"/>
    </row>
    <row r="4" spans="1:22" ht="24" customHeight="1" x14ac:dyDescent="0.3">
      <c r="A4" s="3"/>
      <c r="B4" s="3"/>
      <c r="C4" s="3"/>
      <c r="D4" s="3"/>
      <c r="E4" s="6"/>
      <c r="F4" s="5"/>
      <c r="G4" s="49"/>
      <c r="H4" s="49"/>
      <c r="I4" s="49"/>
      <c r="J4" s="49"/>
      <c r="K4" s="49"/>
      <c r="L4" s="49"/>
      <c r="M4" s="5"/>
      <c r="N4" s="5"/>
      <c r="O4" s="5"/>
      <c r="P4" s="5"/>
      <c r="Q4" s="5"/>
      <c r="R4" s="5"/>
      <c r="S4" s="5"/>
      <c r="T4" s="11"/>
      <c r="U4" s="12"/>
      <c r="V4" s="13"/>
    </row>
    <row r="5" spans="1:22" ht="16" thickBot="1" x14ac:dyDescent="0.35">
      <c r="A5" s="2"/>
      <c r="B5" s="2"/>
      <c r="C5" s="3"/>
      <c r="D5" s="4"/>
      <c r="E5" s="6"/>
      <c r="F5" s="5"/>
      <c r="G5" s="5"/>
      <c r="H5" s="5"/>
      <c r="I5" s="6"/>
      <c r="J5" s="5"/>
      <c r="K5" s="6"/>
      <c r="L5" s="45"/>
      <c r="M5" s="5"/>
      <c r="N5" s="5"/>
      <c r="O5" s="5"/>
      <c r="P5" s="5"/>
      <c r="Q5" s="5"/>
      <c r="R5" s="5"/>
      <c r="S5" s="5"/>
      <c r="T5" s="5"/>
      <c r="U5" s="3"/>
      <c r="V5" s="2"/>
    </row>
    <row r="6" spans="1:22" s="35" customFormat="1" ht="22" customHeight="1" x14ac:dyDescent="0.35">
      <c r="A6" s="308" t="s">
        <v>0</v>
      </c>
      <c r="B6" s="310" t="s">
        <v>1</v>
      </c>
      <c r="C6" s="312" t="s">
        <v>2</v>
      </c>
      <c r="D6" s="313" t="s">
        <v>3</v>
      </c>
      <c r="E6" s="314" t="s">
        <v>46</v>
      </c>
      <c r="F6" s="321" t="s">
        <v>48</v>
      </c>
      <c r="G6" s="319" t="s">
        <v>49</v>
      </c>
      <c r="H6" s="318" t="s">
        <v>47</v>
      </c>
      <c r="I6" s="318"/>
      <c r="J6" s="318"/>
      <c r="K6" s="318"/>
      <c r="L6" s="323" t="s">
        <v>4</v>
      </c>
      <c r="M6" s="325" t="s">
        <v>51</v>
      </c>
      <c r="N6" s="325"/>
      <c r="O6" s="325"/>
      <c r="P6" s="325"/>
      <c r="Q6" s="325"/>
      <c r="R6" s="325"/>
      <c r="S6" s="325"/>
      <c r="T6" s="325"/>
      <c r="U6" s="325"/>
      <c r="V6" s="316" t="s">
        <v>5</v>
      </c>
    </row>
    <row r="7" spans="1:22" s="35" customFormat="1" ht="54" customHeight="1" thickBot="1" x14ac:dyDescent="0.4">
      <c r="A7" s="309"/>
      <c r="B7" s="311"/>
      <c r="C7" s="311"/>
      <c r="D7" s="311"/>
      <c r="E7" s="315"/>
      <c r="F7" s="322"/>
      <c r="G7" s="320"/>
      <c r="H7" s="66" t="s">
        <v>6</v>
      </c>
      <c r="I7" s="50" t="s">
        <v>7</v>
      </c>
      <c r="J7" s="50" t="s">
        <v>8</v>
      </c>
      <c r="K7" s="75" t="s">
        <v>50</v>
      </c>
      <c r="L7" s="324"/>
      <c r="M7" s="66" t="s">
        <v>9</v>
      </c>
      <c r="N7" s="50" t="s">
        <v>10</v>
      </c>
      <c r="O7" s="50" t="s">
        <v>11</v>
      </c>
      <c r="P7" s="51" t="s">
        <v>56</v>
      </c>
      <c r="Q7" s="52" t="s">
        <v>52</v>
      </c>
      <c r="R7" s="52" t="s">
        <v>55</v>
      </c>
      <c r="S7" s="50" t="s">
        <v>54</v>
      </c>
      <c r="T7" s="51" t="s">
        <v>53</v>
      </c>
      <c r="U7" s="106" t="s">
        <v>12</v>
      </c>
      <c r="V7" s="317"/>
    </row>
    <row r="8" spans="1:22" thickTop="1" thickBot="1" x14ac:dyDescent="0.35">
      <c r="A8" s="59"/>
      <c r="B8" s="60"/>
      <c r="C8" s="60"/>
      <c r="D8" s="60"/>
      <c r="E8" s="60">
        <v>1</v>
      </c>
      <c r="F8" s="62">
        <v>2</v>
      </c>
      <c r="G8" s="71" t="s">
        <v>13</v>
      </c>
      <c r="H8" s="67">
        <v>3</v>
      </c>
      <c r="I8" s="60">
        <v>4</v>
      </c>
      <c r="J8" s="60">
        <v>5</v>
      </c>
      <c r="K8" s="62">
        <v>6</v>
      </c>
      <c r="L8" s="71" t="s">
        <v>14</v>
      </c>
      <c r="M8" s="67">
        <v>7</v>
      </c>
      <c r="N8" s="60">
        <v>8</v>
      </c>
      <c r="O8" s="60">
        <v>9</v>
      </c>
      <c r="P8" s="61" t="s">
        <v>57</v>
      </c>
      <c r="Q8" s="60">
        <v>10</v>
      </c>
      <c r="R8" s="60">
        <v>11</v>
      </c>
      <c r="S8" s="60">
        <v>12</v>
      </c>
      <c r="T8" s="61" t="s">
        <v>58</v>
      </c>
      <c r="U8" s="80" t="s">
        <v>59</v>
      </c>
      <c r="V8" s="71" t="s">
        <v>60</v>
      </c>
    </row>
    <row r="9" spans="1:22" ht="15" customHeight="1" thickTop="1" x14ac:dyDescent="0.3">
      <c r="A9" s="53" t="s">
        <v>13</v>
      </c>
      <c r="B9" s="54"/>
      <c r="C9" s="55" t="s">
        <v>19</v>
      </c>
      <c r="D9" s="56"/>
      <c r="E9" s="57">
        <f t="shared" ref="E9:K9" si="0">SUBTOTAL(9,E10:E12)</f>
        <v>31000000</v>
      </c>
      <c r="F9" s="63">
        <f>'CHAM CONG'!AH6</f>
        <v>27</v>
      </c>
      <c r="G9" s="72">
        <f>SUBTOTAL(9,G10:G12)</f>
        <v>27148148.148148149</v>
      </c>
      <c r="H9" s="68">
        <f t="shared" si="0"/>
        <v>2145000</v>
      </c>
      <c r="I9" s="57">
        <f t="shared" si="0"/>
        <v>0</v>
      </c>
      <c r="J9" s="58">
        <f t="shared" si="0"/>
        <v>1072500</v>
      </c>
      <c r="K9" s="76">
        <f t="shared" si="0"/>
        <v>3000000</v>
      </c>
      <c r="L9" s="72">
        <f>SUBTOTAL(9,L10:L12)</f>
        <v>33365648.148148149</v>
      </c>
      <c r="M9" s="78"/>
      <c r="N9" s="57"/>
      <c r="O9" s="57"/>
      <c r="P9" s="57">
        <f t="shared" ref="P9:U9" si="1">SUBTOTAL(9,P10:P12)</f>
        <v>2850555.5555555555</v>
      </c>
      <c r="Q9" s="57">
        <f t="shared" si="1"/>
        <v>1</v>
      </c>
      <c r="R9" s="57"/>
      <c r="S9" s="57"/>
      <c r="T9" s="57">
        <f t="shared" si="1"/>
        <v>3555.5555555555038</v>
      </c>
      <c r="U9" s="76">
        <f t="shared" si="1"/>
        <v>0</v>
      </c>
      <c r="V9" s="72">
        <f>SUBTOTAL(9,V10:V12)</f>
        <v>30511537.037037034</v>
      </c>
    </row>
    <row r="10" spans="1:22" ht="15" customHeight="1" x14ac:dyDescent="0.3">
      <c r="A10" s="1">
        <v>1</v>
      </c>
      <c r="B10" s="29" t="s">
        <v>32</v>
      </c>
      <c r="C10" s="30" t="str">
        <f>VLOOKUP(B10,'DS NV'!$A$1:$D$11,2,0)</f>
        <v>NGUYỄN VĂN A</v>
      </c>
      <c r="D10" s="31" t="str">
        <f>VLOOKUP(B10,'DS NV'!$A$1:$D$11,3,0)</f>
        <v>Manager</v>
      </c>
      <c r="E10" s="33">
        <v>15000000</v>
      </c>
      <c r="F10" s="207">
        <f>VLOOKUP(C10,'CHAM CONG'!$C$10:$AO$21,39,0)</f>
        <v>23</v>
      </c>
      <c r="G10" s="73">
        <f>(E10/$F$9)*F10</f>
        <v>12777777.777777776</v>
      </c>
      <c r="H10" s="69">
        <f>F10*30000</f>
        <v>690000</v>
      </c>
      <c r="I10" s="33"/>
      <c r="J10" s="32">
        <f>F10*15000</f>
        <v>345000</v>
      </c>
      <c r="K10" s="77">
        <v>3000000</v>
      </c>
      <c r="L10" s="79">
        <f>SUM(G10:K10)</f>
        <v>16812777.777777776</v>
      </c>
      <c r="M10" s="69">
        <f>G10*8%</f>
        <v>1022222.2222222221</v>
      </c>
      <c r="N10" s="32">
        <f>G10*1.5%</f>
        <v>191666.66666666663</v>
      </c>
      <c r="O10" s="32">
        <f>G10*1%</f>
        <v>127777.77777777777</v>
      </c>
      <c r="P10" s="32">
        <f>M10+N10+O10</f>
        <v>1341666.6666666665</v>
      </c>
      <c r="Q10" s="47">
        <v>1</v>
      </c>
      <c r="R10" s="47">
        <f>11000000+(Q10*4400000)</f>
        <v>15400000</v>
      </c>
      <c r="S10" s="47">
        <f>IF(L10-P10-R10&gt;0,L10-P10-R10,0)</f>
        <v>71111.111111110076</v>
      </c>
      <c r="T10" s="33">
        <f>_xlfn.IFS(S10&lt;=5000000,S10*5%,AND(S10&gt;5000000,S10&lt;=10000000),(S10*10%)-250000,AND(S10&gt;10000000,S10&lt;=18000000),(S10*15%)-750000,AND(S10&gt;18000000,S10&lt;=32000000),(S10*20%)-1650000)</f>
        <v>3555.5555555555038</v>
      </c>
      <c r="U10" s="64">
        <v>0</v>
      </c>
      <c r="V10" s="81">
        <f>L10-P10-T10-U10</f>
        <v>15467555.555555554</v>
      </c>
    </row>
    <row r="11" spans="1:22" ht="15" customHeight="1" x14ac:dyDescent="0.3">
      <c r="A11" s="1">
        <v>2</v>
      </c>
      <c r="B11" s="29" t="s">
        <v>33</v>
      </c>
      <c r="C11" s="30" t="str">
        <f>VLOOKUP(B11,'DS NV'!$A$1:$D$11,2,0)</f>
        <v>TRẦN THANH B</v>
      </c>
      <c r="D11" s="31" t="str">
        <f>VLOOKUP(B11,'DS NV'!$A$1:$D$11,3,0)</f>
        <v>Staff</v>
      </c>
      <c r="E11" s="33">
        <v>8000000</v>
      </c>
      <c r="F11" s="207">
        <f>VLOOKUP(C11,'CHAM CONG'!$C$10:$AO$21,39,0)</f>
        <v>24.5</v>
      </c>
      <c r="G11" s="73">
        <f t="shared" ref="G11:G12" si="2">(E11/$F$9)*F11</f>
        <v>7259259.2592592593</v>
      </c>
      <c r="H11" s="69">
        <f t="shared" ref="H11:H12" si="3">F11*30000</f>
        <v>735000</v>
      </c>
      <c r="I11" s="33"/>
      <c r="J11" s="32">
        <f t="shared" ref="J11:J12" si="4">F11*15000</f>
        <v>367500</v>
      </c>
      <c r="K11" s="77"/>
      <c r="L11" s="79">
        <f t="shared" ref="L11:L12" si="5">SUM(G11:K11)</f>
        <v>8361759.2592592593</v>
      </c>
      <c r="M11" s="69">
        <f t="shared" ref="M11:M12" si="6">G11*8%</f>
        <v>580740.74074074079</v>
      </c>
      <c r="N11" s="32">
        <f t="shared" ref="N11:N12" si="7">G11*1.5%</f>
        <v>108888.88888888889</v>
      </c>
      <c r="O11" s="32">
        <f t="shared" ref="O11:O12" si="8">G11*1%</f>
        <v>72592.592592592599</v>
      </c>
      <c r="P11" s="32">
        <f t="shared" ref="P11:P12" si="9">M11+N11+O11</f>
        <v>762222.22222222225</v>
      </c>
      <c r="Q11" s="47">
        <v>0</v>
      </c>
      <c r="R11" s="47">
        <f t="shared" ref="R11:R12" si="10">11000000+(Q11*4400000)</f>
        <v>11000000</v>
      </c>
      <c r="S11" s="47">
        <f t="shared" ref="S11:S12" si="11">IF(L11-P11-R11&gt;0,L11-P11-R11,0)</f>
        <v>0</v>
      </c>
      <c r="T11" s="33">
        <f t="shared" ref="T11:T12" si="12">_xlfn.IFS(S11&lt;=5000000,S11*5%,AND(S11&gt;5000000,S11&lt;=10000000),(S11*10%)-250000,AND(S11&gt;10000000,S11&lt;=18000000),(S11*15%)-750000,AND(S11&gt;18000000,S11&lt;=32000000),(S11*20%)-1650000)</f>
        <v>0</v>
      </c>
      <c r="U11" s="64">
        <v>0</v>
      </c>
      <c r="V11" s="81">
        <f t="shared" ref="V11:V12" si="13">L11-P11-T11-U11</f>
        <v>7599537.0370370373</v>
      </c>
    </row>
    <row r="12" spans="1:22" ht="15" customHeight="1" x14ac:dyDescent="0.3">
      <c r="A12" s="1">
        <v>3</v>
      </c>
      <c r="B12" s="29" t="s">
        <v>34</v>
      </c>
      <c r="C12" s="30" t="str">
        <f>VLOOKUP(B12,'DS NV'!$A$1:$D$11,2,0)</f>
        <v>HỒ THỊ C</v>
      </c>
      <c r="D12" s="31" t="str">
        <f>VLOOKUP(B12,'DS NV'!$A$1:$D$11,3,0)</f>
        <v>Staff</v>
      </c>
      <c r="E12" s="33">
        <v>8000000</v>
      </c>
      <c r="F12" s="207">
        <f>VLOOKUP(C12,'CHAM CONG'!$C$10:$AO$21,39,0)</f>
        <v>24</v>
      </c>
      <c r="G12" s="73">
        <f t="shared" si="2"/>
        <v>7111111.111111111</v>
      </c>
      <c r="H12" s="69">
        <f t="shared" si="3"/>
        <v>720000</v>
      </c>
      <c r="I12" s="33"/>
      <c r="J12" s="32">
        <f t="shared" si="4"/>
        <v>360000</v>
      </c>
      <c r="K12" s="77"/>
      <c r="L12" s="79">
        <f t="shared" si="5"/>
        <v>8191111.111111111</v>
      </c>
      <c r="M12" s="69">
        <f t="shared" si="6"/>
        <v>568888.88888888888</v>
      </c>
      <c r="N12" s="32">
        <f t="shared" si="7"/>
        <v>106666.66666666666</v>
      </c>
      <c r="O12" s="32">
        <f t="shared" si="8"/>
        <v>71111.111111111109</v>
      </c>
      <c r="P12" s="32">
        <f t="shared" si="9"/>
        <v>746666.66666666663</v>
      </c>
      <c r="Q12" s="47">
        <v>0</v>
      </c>
      <c r="R12" s="47">
        <f t="shared" si="10"/>
        <v>11000000</v>
      </c>
      <c r="S12" s="47">
        <f t="shared" si="11"/>
        <v>0</v>
      </c>
      <c r="T12" s="33">
        <f t="shared" si="12"/>
        <v>0</v>
      </c>
      <c r="U12" s="64">
        <v>0</v>
      </c>
      <c r="V12" s="81">
        <f t="shared" si="13"/>
        <v>7444444.444444444</v>
      </c>
    </row>
    <row r="13" spans="1:22" ht="15" customHeight="1" x14ac:dyDescent="0.3">
      <c r="A13" s="38" t="s">
        <v>14</v>
      </c>
      <c r="B13" s="39"/>
      <c r="C13" s="40" t="s">
        <v>23</v>
      </c>
      <c r="D13" s="41"/>
      <c r="E13" s="42">
        <f t="shared" ref="E13:L13" si="14">SUBTOTAL(9,E14:E18)</f>
        <v>38000000</v>
      </c>
      <c r="F13" s="65"/>
      <c r="G13" s="74">
        <f>SUBTOTAL(9,G14:G18)</f>
        <v>33055555.555555556</v>
      </c>
      <c r="H13" s="70">
        <f t="shared" si="14"/>
        <v>3510000</v>
      </c>
      <c r="I13" s="42">
        <f t="shared" si="14"/>
        <v>0</v>
      </c>
      <c r="J13" s="42">
        <f t="shared" si="14"/>
        <v>1755000</v>
      </c>
      <c r="K13" s="65">
        <f t="shared" si="14"/>
        <v>1200000</v>
      </c>
      <c r="L13" s="74">
        <f t="shared" si="14"/>
        <v>39520555.55555556</v>
      </c>
      <c r="M13" s="70"/>
      <c r="N13" s="42"/>
      <c r="O13" s="42"/>
      <c r="P13" s="42">
        <f>SUBTOTAL(9,P14:P18)</f>
        <v>3470833.333333334</v>
      </c>
      <c r="Q13" s="42"/>
      <c r="R13" s="42"/>
      <c r="S13" s="42"/>
      <c r="T13" s="42">
        <f>SUBTOTAL(9,T14:T18)</f>
        <v>0</v>
      </c>
      <c r="U13" s="65">
        <f>SUBTOTAL(9,U14:U18)</f>
        <v>0</v>
      </c>
      <c r="V13" s="74">
        <f>SUBTOTAL(9,V14:V18)</f>
        <v>36049722.222222224</v>
      </c>
    </row>
    <row r="14" spans="1:22" ht="15" customHeight="1" x14ac:dyDescent="0.3">
      <c r="A14" s="1">
        <v>4</v>
      </c>
      <c r="B14" s="29" t="s">
        <v>35</v>
      </c>
      <c r="C14" s="30" t="str">
        <f>VLOOKUP(B14,'DS NV'!$A$1:$D$11,2,0)</f>
        <v>HÀ VĂN D</v>
      </c>
      <c r="D14" s="31" t="str">
        <f>VLOOKUP(B14,'DS NV'!$A$1:$D$11,3,0)</f>
        <v>Leader</v>
      </c>
      <c r="E14" s="33">
        <v>10000000</v>
      </c>
      <c r="F14" s="207">
        <f>VLOOKUP(C14,'CHAM CONG'!$C$10:$AO$21,39,0)</f>
        <v>24.5</v>
      </c>
      <c r="G14" s="73">
        <f>(E14/$F$9)*F14</f>
        <v>9074074.0740740746</v>
      </c>
      <c r="H14" s="69">
        <f>F14*30000</f>
        <v>735000</v>
      </c>
      <c r="I14" s="33"/>
      <c r="J14" s="32">
        <f>F14*15000</f>
        <v>367500</v>
      </c>
      <c r="K14" s="77">
        <v>1200000</v>
      </c>
      <c r="L14" s="79">
        <f>SUM(G14:K14)</f>
        <v>11376574.074074075</v>
      </c>
      <c r="M14" s="69">
        <f>G14*8%</f>
        <v>725925.92592592596</v>
      </c>
      <c r="N14" s="32">
        <f>G14*1.5%</f>
        <v>136111.11111111112</v>
      </c>
      <c r="O14" s="32">
        <f>G14*1%</f>
        <v>90740.740740740745</v>
      </c>
      <c r="P14" s="32">
        <f>M14+N14+O14</f>
        <v>952777.77777777787</v>
      </c>
      <c r="Q14" s="36">
        <v>0</v>
      </c>
      <c r="R14" s="48">
        <f>11000000+(Q14*4400000)</f>
        <v>11000000</v>
      </c>
      <c r="S14" s="47">
        <f>IF(L14-P14-R14&gt;0,L14-P14-R14,0)</f>
        <v>0</v>
      </c>
      <c r="T14" s="33">
        <f>_xlfn.IFS(S14&lt;=5000000,S14*5%,AND(S14&gt;5000000,S14&lt;=10000000),(S14*10%)-250000,AND(S14&gt;10000000,S14&lt;=18000000),(S14*15%)-750000,AND(S14&gt;18000000,S14&lt;=32000000),(S14*20%)-1650000)</f>
        <v>0</v>
      </c>
      <c r="U14" s="64">
        <v>0</v>
      </c>
      <c r="V14" s="81">
        <f t="shared" ref="V14:V21" si="15">L14-P14-T14-U14</f>
        <v>10423796.296296297</v>
      </c>
    </row>
    <row r="15" spans="1:22" ht="15" customHeight="1" x14ac:dyDescent="0.3">
      <c r="A15" s="1">
        <v>5</v>
      </c>
      <c r="B15" s="29" t="s">
        <v>36</v>
      </c>
      <c r="C15" s="30" t="str">
        <f>VLOOKUP(B15,'DS NV'!$A$1:$D$11,2,0)</f>
        <v>LÊ PHƯƠNG E</v>
      </c>
      <c r="D15" s="31" t="str">
        <f>VLOOKUP(B15,'DS NV'!$A$1:$D$11,3,0)</f>
        <v>Staff</v>
      </c>
      <c r="E15" s="33">
        <v>7000000</v>
      </c>
      <c r="F15" s="207">
        <f>VLOOKUP(C15,'CHAM CONG'!$C$10:$AO$21,39,0)</f>
        <v>23.5</v>
      </c>
      <c r="G15" s="73">
        <f t="shared" ref="G15:G18" si="16">(E15/$F$9)*F15</f>
        <v>6092592.5925925933</v>
      </c>
      <c r="H15" s="69">
        <f t="shared" ref="H15:H18" si="17">F15*30000</f>
        <v>705000</v>
      </c>
      <c r="I15" s="33"/>
      <c r="J15" s="32">
        <f t="shared" ref="J15:J18" si="18">F15*15000</f>
        <v>352500</v>
      </c>
      <c r="K15" s="77"/>
      <c r="L15" s="79">
        <f t="shared" ref="L15:L18" si="19">SUM(G15:K15)</f>
        <v>7150092.5925925933</v>
      </c>
      <c r="M15" s="69">
        <f t="shared" ref="M15:M18" si="20">G15*8%</f>
        <v>487407.40740740747</v>
      </c>
      <c r="N15" s="32">
        <f t="shared" ref="N15:N18" si="21">G15*1.5%</f>
        <v>91388.888888888891</v>
      </c>
      <c r="O15" s="32">
        <f t="shared" ref="O15:O18" si="22">G15*1%</f>
        <v>60925.925925925934</v>
      </c>
      <c r="P15" s="32">
        <f t="shared" ref="P15:P18" si="23">M15+N15+O15</f>
        <v>639722.22222222236</v>
      </c>
      <c r="Q15" s="36">
        <v>0</v>
      </c>
      <c r="R15" s="48">
        <f t="shared" ref="R15:R18" si="24">11000000+(Q15*4400000)</f>
        <v>11000000</v>
      </c>
      <c r="S15" s="47">
        <f t="shared" ref="S15:S18" si="25">IF(L15-P15-R15&gt;0,L15-P15-R15,0)</f>
        <v>0</v>
      </c>
      <c r="T15" s="33">
        <f t="shared" ref="T15:T18" si="26">_xlfn.IFS(S15&lt;=5000000,S15*5%,AND(S15&gt;5000000,S15&lt;=10000000),(S15*10%)-250000,AND(S15&gt;10000000,S15&lt;=18000000),(S15*15%)-750000,AND(S15&gt;18000000,S15&lt;=32000000),(S15*20%)-1650000)</f>
        <v>0</v>
      </c>
      <c r="U15" s="64">
        <v>0</v>
      </c>
      <c r="V15" s="81">
        <f t="shared" si="15"/>
        <v>6510370.3703703713</v>
      </c>
    </row>
    <row r="16" spans="1:22" ht="15" customHeight="1" x14ac:dyDescent="0.3">
      <c r="A16" s="1">
        <v>6</v>
      </c>
      <c r="B16" s="29" t="s">
        <v>37</v>
      </c>
      <c r="C16" s="30" t="str">
        <f>VLOOKUP(B16,'DS NV'!$A$1:$D$11,2,0)</f>
        <v>LÝ MINH F</v>
      </c>
      <c r="D16" s="31" t="str">
        <f>VLOOKUP(B16,'DS NV'!$A$1:$D$11,3,0)</f>
        <v>Staff</v>
      </c>
      <c r="E16" s="33">
        <v>7000000</v>
      </c>
      <c r="F16" s="207">
        <f>VLOOKUP(C16,'CHAM CONG'!$C$10:$AO$21,39,0)</f>
        <v>23</v>
      </c>
      <c r="G16" s="73">
        <f t="shared" si="16"/>
        <v>5962962.9629629636</v>
      </c>
      <c r="H16" s="69">
        <f t="shared" si="17"/>
        <v>690000</v>
      </c>
      <c r="I16" s="33"/>
      <c r="J16" s="32">
        <f t="shared" si="18"/>
        <v>345000</v>
      </c>
      <c r="K16" s="77"/>
      <c r="L16" s="79">
        <f t="shared" si="19"/>
        <v>6997962.9629629636</v>
      </c>
      <c r="M16" s="69">
        <f t="shared" si="20"/>
        <v>477037.03703703708</v>
      </c>
      <c r="N16" s="32">
        <f t="shared" si="21"/>
        <v>89444.444444444453</v>
      </c>
      <c r="O16" s="32">
        <f t="shared" si="22"/>
        <v>59629.629629629635</v>
      </c>
      <c r="P16" s="32">
        <f t="shared" si="23"/>
        <v>626111.11111111124</v>
      </c>
      <c r="Q16" s="36">
        <v>0</v>
      </c>
      <c r="R16" s="48">
        <f t="shared" si="24"/>
        <v>11000000</v>
      </c>
      <c r="S16" s="47">
        <f t="shared" si="25"/>
        <v>0</v>
      </c>
      <c r="T16" s="33">
        <f t="shared" si="26"/>
        <v>0</v>
      </c>
      <c r="U16" s="64">
        <v>0</v>
      </c>
      <c r="V16" s="81">
        <f t="shared" si="15"/>
        <v>6371851.8518518526</v>
      </c>
    </row>
    <row r="17" spans="1:22" ht="15" customHeight="1" x14ac:dyDescent="0.3">
      <c r="A17" s="1">
        <v>7</v>
      </c>
      <c r="B17" s="29" t="s">
        <v>38</v>
      </c>
      <c r="C17" s="30" t="str">
        <f>VLOOKUP(B17,'DS NV'!$A$1:$D$11,2,0)</f>
        <v>HOÀNG VĂN G</v>
      </c>
      <c r="D17" s="31" t="str">
        <f>VLOOKUP(B17,'DS NV'!$A$1:$D$11,3,0)</f>
        <v>Staff</v>
      </c>
      <c r="E17" s="33">
        <v>7000000</v>
      </c>
      <c r="F17" s="207">
        <f>VLOOKUP(C17,'CHAM CONG'!$C$10:$AO$21,39,0)</f>
        <v>23</v>
      </c>
      <c r="G17" s="73">
        <f t="shared" si="16"/>
        <v>5962962.9629629636</v>
      </c>
      <c r="H17" s="69">
        <f t="shared" si="17"/>
        <v>690000</v>
      </c>
      <c r="I17" s="33"/>
      <c r="J17" s="32">
        <f t="shared" si="18"/>
        <v>345000</v>
      </c>
      <c r="K17" s="77"/>
      <c r="L17" s="79">
        <f t="shared" si="19"/>
        <v>6997962.9629629636</v>
      </c>
      <c r="M17" s="69">
        <f t="shared" si="20"/>
        <v>477037.03703703708</v>
      </c>
      <c r="N17" s="32">
        <f t="shared" si="21"/>
        <v>89444.444444444453</v>
      </c>
      <c r="O17" s="32">
        <f t="shared" si="22"/>
        <v>59629.629629629635</v>
      </c>
      <c r="P17" s="32">
        <f t="shared" si="23"/>
        <v>626111.11111111124</v>
      </c>
      <c r="Q17" s="36">
        <v>0</v>
      </c>
      <c r="R17" s="48">
        <f t="shared" si="24"/>
        <v>11000000</v>
      </c>
      <c r="S17" s="47">
        <f t="shared" si="25"/>
        <v>0</v>
      </c>
      <c r="T17" s="33">
        <f t="shared" si="26"/>
        <v>0</v>
      </c>
      <c r="U17" s="64">
        <v>0</v>
      </c>
      <c r="V17" s="81">
        <f t="shared" si="15"/>
        <v>6371851.8518518526</v>
      </c>
    </row>
    <row r="18" spans="1:22" ht="15" customHeight="1" x14ac:dyDescent="0.3">
      <c r="A18" s="1">
        <v>8</v>
      </c>
      <c r="B18" s="29" t="s">
        <v>39</v>
      </c>
      <c r="C18" s="30" t="str">
        <f>VLOOKUP(B18,'DS NV'!$A$1:$D$11,2,0)</f>
        <v>ĐỖ TẤN H</v>
      </c>
      <c r="D18" s="31" t="str">
        <f>VLOOKUP(B18,'DS NV'!$A$1:$D$11,3,0)</f>
        <v>Staff</v>
      </c>
      <c r="E18" s="33">
        <v>7000000</v>
      </c>
      <c r="F18" s="207">
        <f>VLOOKUP(C18,'CHAM CONG'!$C$10:$AO$21,39,0)</f>
        <v>23</v>
      </c>
      <c r="G18" s="73">
        <f t="shared" si="16"/>
        <v>5962962.9629629636</v>
      </c>
      <c r="H18" s="69">
        <f t="shared" si="17"/>
        <v>690000</v>
      </c>
      <c r="I18" s="33"/>
      <c r="J18" s="32">
        <f t="shared" si="18"/>
        <v>345000</v>
      </c>
      <c r="K18" s="77"/>
      <c r="L18" s="79">
        <f t="shared" si="19"/>
        <v>6997962.9629629636</v>
      </c>
      <c r="M18" s="69">
        <f t="shared" si="20"/>
        <v>477037.03703703708</v>
      </c>
      <c r="N18" s="32">
        <f t="shared" si="21"/>
        <v>89444.444444444453</v>
      </c>
      <c r="O18" s="32">
        <f t="shared" si="22"/>
        <v>59629.629629629635</v>
      </c>
      <c r="P18" s="32">
        <f t="shared" si="23"/>
        <v>626111.11111111124</v>
      </c>
      <c r="Q18" s="36">
        <v>0</v>
      </c>
      <c r="R18" s="48">
        <f t="shared" si="24"/>
        <v>11000000</v>
      </c>
      <c r="S18" s="47">
        <f t="shared" si="25"/>
        <v>0</v>
      </c>
      <c r="T18" s="33">
        <f t="shared" si="26"/>
        <v>0</v>
      </c>
      <c r="U18" s="64">
        <v>0</v>
      </c>
      <c r="V18" s="81">
        <f t="shared" si="15"/>
        <v>6371851.8518518526</v>
      </c>
    </row>
    <row r="19" spans="1:22" ht="15" customHeight="1" x14ac:dyDescent="0.3">
      <c r="A19" s="38" t="s">
        <v>18</v>
      </c>
      <c r="B19" s="39"/>
      <c r="C19" s="40" t="s">
        <v>29</v>
      </c>
      <c r="D19" s="43"/>
      <c r="E19" s="42">
        <f>SUBTOTAL(9,E20:E21)</f>
        <v>20000000</v>
      </c>
      <c r="F19" s="65"/>
      <c r="G19" s="74">
        <f>SUBTOTAL(9,G20:G21)</f>
        <v>19703703.703703701</v>
      </c>
      <c r="H19" s="70">
        <f t="shared" ref="H19:L19" si="27">SUBTOTAL(9,H20:H21)</f>
        <v>1590000</v>
      </c>
      <c r="I19" s="42">
        <f t="shared" si="27"/>
        <v>200000</v>
      </c>
      <c r="J19" s="42">
        <f t="shared" si="27"/>
        <v>3180000</v>
      </c>
      <c r="K19" s="65">
        <f t="shared" si="27"/>
        <v>1000000</v>
      </c>
      <c r="L19" s="74">
        <f t="shared" si="27"/>
        <v>25673703.703703701</v>
      </c>
      <c r="M19" s="70"/>
      <c r="N19" s="42"/>
      <c r="O19" s="42"/>
      <c r="P19" s="42">
        <f>SUBTOTAL(9,P20:P21)</f>
        <v>2068888.888888889</v>
      </c>
      <c r="Q19" s="42"/>
      <c r="R19" s="42"/>
      <c r="S19" s="42"/>
      <c r="T19" s="42">
        <f>SUBTOTAL(9,T20:T21)</f>
        <v>163500</v>
      </c>
      <c r="U19" s="65">
        <f>SUBTOTAL(9,U20:U21)</f>
        <v>0</v>
      </c>
      <c r="V19" s="74">
        <f>SUBTOTAL(9,V20:V21)</f>
        <v>23441314.814814813</v>
      </c>
    </row>
    <row r="20" spans="1:22" ht="15" customHeight="1" x14ac:dyDescent="0.3">
      <c r="A20" s="1">
        <v>9</v>
      </c>
      <c r="B20" s="29" t="s">
        <v>40</v>
      </c>
      <c r="C20" s="30" t="str">
        <f>VLOOKUP(B20,'DS NV'!$A$1:$D$11,2,0)</f>
        <v>LÂM VĂN K</v>
      </c>
      <c r="D20" s="31" t="str">
        <f>VLOOKUP(B20,'DS NV'!$A$1:$D$11,3,0)</f>
        <v>Leader</v>
      </c>
      <c r="E20" s="33">
        <v>12000000</v>
      </c>
      <c r="F20" s="207">
        <f>VLOOKUP(C20,'CHAM CONG'!$C$10:$AO$21,39,0)</f>
        <v>27</v>
      </c>
      <c r="G20" s="73">
        <f>(E20/$F$9)*F20</f>
        <v>12000000</v>
      </c>
      <c r="H20" s="69">
        <f>F20*30000</f>
        <v>810000</v>
      </c>
      <c r="I20" s="33">
        <v>100000</v>
      </c>
      <c r="J20" s="32">
        <f>F20*60000</f>
        <v>1620000</v>
      </c>
      <c r="K20" s="77">
        <v>1000000</v>
      </c>
      <c r="L20" s="79">
        <f>SUM(G20:K20)</f>
        <v>15530000</v>
      </c>
      <c r="M20" s="69">
        <f>G20*8%</f>
        <v>960000</v>
      </c>
      <c r="N20" s="32">
        <f>G20*1.5%</f>
        <v>180000</v>
      </c>
      <c r="O20" s="32">
        <f>G20*1%</f>
        <v>120000</v>
      </c>
      <c r="P20" s="32">
        <f>M20+N20+O20</f>
        <v>1260000</v>
      </c>
      <c r="Q20" s="36">
        <v>0</v>
      </c>
      <c r="R20" s="48">
        <f>11000000+(Q20*4400000)</f>
        <v>11000000</v>
      </c>
      <c r="S20" s="47">
        <f>IF(L20-P20-R20&gt;0,L20-P20-R20,0)</f>
        <v>3270000</v>
      </c>
      <c r="T20" s="33">
        <f>_xlfn.IFS(S20&lt;=5000000,S20*5%,AND(S20&gt;5000000,S20&lt;=10000000),(S20*10%)-250000,AND(S20&gt;10000000,S20&lt;=18000000),(S20*15%)-750000,AND(S20&gt;18000000,S20&lt;=32000000),(S20*20%)-1650000)</f>
        <v>163500</v>
      </c>
      <c r="U20" s="64">
        <v>0</v>
      </c>
      <c r="V20" s="81">
        <f t="shared" si="15"/>
        <v>14106500</v>
      </c>
    </row>
    <row r="21" spans="1:22" ht="15" customHeight="1" thickBot="1" x14ac:dyDescent="0.35">
      <c r="A21" s="82">
        <v>10</v>
      </c>
      <c r="B21" s="83" t="s">
        <v>41</v>
      </c>
      <c r="C21" s="30" t="str">
        <f>VLOOKUP(B21,'DS NV'!$A$1:$D$11,2,0)</f>
        <v>TRỊNH NGỌC M</v>
      </c>
      <c r="D21" s="31" t="str">
        <f>VLOOKUP(B21,'DS NV'!$A$1:$D$11,3,0)</f>
        <v>Staff</v>
      </c>
      <c r="E21" s="86">
        <v>8000000</v>
      </c>
      <c r="F21" s="208">
        <f>VLOOKUP(C21,'CHAM CONG'!$C$10:$AO$21,39,0)</f>
        <v>26</v>
      </c>
      <c r="G21" s="88">
        <f>(E21/$F$9)*F21</f>
        <v>7703703.7037037034</v>
      </c>
      <c r="H21" s="89">
        <f>F21*30000</f>
        <v>780000</v>
      </c>
      <c r="I21" s="86">
        <v>100000</v>
      </c>
      <c r="J21" s="90">
        <f>F21*60000</f>
        <v>1560000</v>
      </c>
      <c r="K21" s="91"/>
      <c r="L21" s="92">
        <f>SUM(G21:K21)</f>
        <v>10143703.703703703</v>
      </c>
      <c r="M21" s="89">
        <f>G21*8%</f>
        <v>616296.29629629629</v>
      </c>
      <c r="N21" s="90">
        <f>G21*1.5%</f>
        <v>115555.55555555555</v>
      </c>
      <c r="O21" s="90">
        <f>G21*1%</f>
        <v>77037.037037037036</v>
      </c>
      <c r="P21" s="90">
        <f>M21+N21+O21</f>
        <v>808888.88888888888</v>
      </c>
      <c r="Q21" s="93">
        <v>0</v>
      </c>
      <c r="R21" s="94">
        <f>11000000+(Q21*4400000)</f>
        <v>11000000</v>
      </c>
      <c r="S21" s="95">
        <f>IF(L21-P21-R21&gt;0,L21-P21-R21,0)</f>
        <v>0</v>
      </c>
      <c r="T21" s="86">
        <f>_xlfn.IFS(S21&lt;=5000000,S21*5%,AND(S21&gt;5000000,S21&lt;=10000000),(S21*10%)-250000,AND(S21&gt;10000000,S21&lt;=18000000),(S21*15%)-750000,AND(S21&gt;18000000,S21&lt;=32000000),(S21*20%)-1650000)</f>
        <v>0</v>
      </c>
      <c r="U21" s="87">
        <v>0</v>
      </c>
      <c r="V21" s="96">
        <f t="shared" si="15"/>
        <v>9334814.8148148153</v>
      </c>
    </row>
    <row r="22" spans="1:22" ht="15" customHeight="1" thickBot="1" x14ac:dyDescent="0.35">
      <c r="A22" s="97"/>
      <c r="B22" s="98"/>
      <c r="C22" s="99" t="s">
        <v>45</v>
      </c>
      <c r="D22" s="100"/>
      <c r="E22" s="101">
        <f>SUBTOTAL(9,E9:E21)</f>
        <v>89000000</v>
      </c>
      <c r="F22" s="102"/>
      <c r="G22" s="103">
        <f>SUBTOTAL(9,G9:G21)</f>
        <v>79907407.407407403</v>
      </c>
      <c r="H22" s="104">
        <f t="shared" ref="H22:K22" si="28">SUBTOTAL(9,H9:H21)</f>
        <v>7245000</v>
      </c>
      <c r="I22" s="101">
        <f t="shared" si="28"/>
        <v>200000</v>
      </c>
      <c r="J22" s="105">
        <f t="shared" si="28"/>
        <v>6007500</v>
      </c>
      <c r="K22" s="102">
        <f t="shared" si="28"/>
        <v>5200000</v>
      </c>
      <c r="L22" s="103">
        <f>SUBTOTAL(9,L9:L21)</f>
        <v>98559907.407407418</v>
      </c>
      <c r="M22" s="104"/>
      <c r="N22" s="105"/>
      <c r="O22" s="105"/>
      <c r="P22" s="105">
        <f>SUBTOTAL(9,P9:P21)</f>
        <v>8390277.777777778</v>
      </c>
      <c r="Q22" s="105"/>
      <c r="R22" s="105"/>
      <c r="S22" s="101"/>
      <c r="T22" s="101">
        <f>SUBTOTAL(9,T9:T21)</f>
        <v>167055.5555555555</v>
      </c>
      <c r="U22" s="102">
        <f>SUBTOTAL(9,U9:U21)</f>
        <v>0</v>
      </c>
      <c r="V22" s="103">
        <f>SUBTOTAL(9,V9:V21)</f>
        <v>90002574.074074075</v>
      </c>
    </row>
    <row r="23" spans="1:22" ht="15" customHeight="1" x14ac:dyDescent="0.3">
      <c r="A23" s="110"/>
      <c r="B23" s="110"/>
      <c r="C23" s="111"/>
      <c r="D23" s="112"/>
      <c r="E23" s="113"/>
      <c r="F23" s="113"/>
      <c r="G23" s="113"/>
      <c r="H23" s="114"/>
      <c r="I23" s="113"/>
      <c r="J23" s="114"/>
      <c r="K23" s="113"/>
      <c r="L23" s="113"/>
      <c r="M23" s="114"/>
      <c r="N23" s="114"/>
      <c r="O23" s="114"/>
      <c r="P23" s="114"/>
      <c r="Q23" s="114"/>
      <c r="R23" s="114"/>
      <c r="S23" s="113"/>
      <c r="T23" s="113"/>
      <c r="U23" s="113"/>
      <c r="V23" s="113"/>
    </row>
    <row r="24" spans="1:22" ht="16.5" customHeight="1" x14ac:dyDescent="0.3">
      <c r="A24" s="14"/>
      <c r="B24" s="14"/>
      <c r="C24" s="15"/>
      <c r="D24" s="16"/>
      <c r="E24" s="18"/>
      <c r="F24" s="11"/>
      <c r="G24" s="11"/>
      <c r="H24" s="11"/>
      <c r="I24" s="18"/>
      <c r="J24" s="11"/>
      <c r="K24" s="44"/>
      <c r="L24" s="46"/>
      <c r="M24" s="17"/>
      <c r="N24" s="275" t="s">
        <v>62</v>
      </c>
      <c r="O24" s="275"/>
      <c r="P24" s="275"/>
      <c r="Q24" s="275"/>
      <c r="R24" s="275"/>
      <c r="S24" s="275"/>
      <c r="T24" s="11"/>
      <c r="U24" s="11"/>
      <c r="V24" s="18"/>
    </row>
    <row r="25" spans="1:22" ht="15.5" x14ac:dyDescent="0.3">
      <c r="A25" s="19"/>
      <c r="B25" s="19"/>
      <c r="C25" s="20"/>
      <c r="D25" s="21"/>
      <c r="E25" s="22" t="s">
        <v>15</v>
      </c>
      <c r="F25" s="8"/>
      <c r="G25" s="8"/>
      <c r="H25" s="8"/>
      <c r="I25" s="22"/>
      <c r="J25" s="307" t="s">
        <v>16</v>
      </c>
      <c r="K25" s="306"/>
      <c r="L25" s="306"/>
      <c r="M25" s="108"/>
      <c r="N25" s="277" t="s">
        <v>63</v>
      </c>
      <c r="O25" s="277"/>
      <c r="P25" s="277"/>
      <c r="Q25" s="277"/>
      <c r="R25" s="277"/>
      <c r="S25" s="277"/>
      <c r="T25" s="108"/>
      <c r="U25" s="8"/>
      <c r="V25" s="24"/>
    </row>
    <row r="26" spans="1:22" ht="15.5" x14ac:dyDescent="0.3">
      <c r="A26" s="25"/>
      <c r="B26" s="25"/>
      <c r="C26" s="26"/>
      <c r="D26" s="27"/>
      <c r="E26" s="24" t="s">
        <v>17</v>
      </c>
      <c r="F26" s="23"/>
      <c r="G26" s="23"/>
      <c r="H26" s="7"/>
      <c r="I26" s="28"/>
      <c r="J26" s="305" t="s">
        <v>17</v>
      </c>
      <c r="K26" s="306"/>
      <c r="L26" s="306"/>
      <c r="M26" s="107"/>
      <c r="N26" s="280" t="s">
        <v>64</v>
      </c>
      <c r="O26" s="280"/>
      <c r="P26" s="280"/>
      <c r="Q26" s="280"/>
      <c r="R26" s="280"/>
      <c r="S26" s="280"/>
      <c r="T26" s="107"/>
      <c r="U26" s="7"/>
      <c r="V26" s="28"/>
    </row>
  </sheetData>
  <mergeCells count="20">
    <mergeCell ref="B3:E3"/>
    <mergeCell ref="V6:V7"/>
    <mergeCell ref="H6:K6"/>
    <mergeCell ref="G6:G7"/>
    <mergeCell ref="F6:F7"/>
    <mergeCell ref="L6:L7"/>
    <mergeCell ref="M6:U6"/>
    <mergeCell ref="A6:A7"/>
    <mergeCell ref="B6:B7"/>
    <mergeCell ref="C6:C7"/>
    <mergeCell ref="D6:D7"/>
    <mergeCell ref="E6:E7"/>
    <mergeCell ref="N24:S24"/>
    <mergeCell ref="N25:S25"/>
    <mergeCell ref="N26:S26"/>
    <mergeCell ref="M2:O2"/>
    <mergeCell ref="G3:L3"/>
    <mergeCell ref="G2:L2"/>
    <mergeCell ref="J26:L26"/>
    <mergeCell ref="J25:L25"/>
  </mergeCells>
  <printOptions horizontalCentered="1"/>
  <pageMargins left="0.11811023622047245" right="0.11811023622047245" top="0.39370078740157483" bottom="0.19685039370078741" header="0" footer="0"/>
  <pageSetup scale="7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D401D-AD8D-4831-9757-C72ABB22A72A}">
  <sheetPr>
    <tabColor theme="5" tint="0.79998168889431442"/>
    <pageSetUpPr fitToPage="1"/>
  </sheetPr>
  <dimension ref="A2:P26"/>
  <sheetViews>
    <sheetView showGridLines="0" tabSelected="1" zoomScaleNormal="100" workbookViewId="0">
      <selection activeCell="F29" sqref="F29"/>
    </sheetView>
  </sheetViews>
  <sheetFormatPr defaultColWidth="13.81640625" defaultRowHeight="15" customHeight="1" x14ac:dyDescent="0.3"/>
  <cols>
    <col min="1" max="1" width="4.90625" style="9" bestFit="1" customWidth="1"/>
    <col min="2" max="2" width="8.6328125" style="9" customWidth="1"/>
    <col min="3" max="3" width="16.453125" style="9" bestFit="1" customWidth="1"/>
    <col min="4" max="4" width="7.08984375" style="9" bestFit="1" customWidth="1"/>
    <col min="5" max="5" width="10.90625" style="34" customWidth="1"/>
    <col min="6" max="6" width="8" style="9" customWidth="1"/>
    <col min="7" max="7" width="10.90625" style="9" customWidth="1"/>
    <col min="8" max="8" width="9.1796875" style="9" bestFit="1" customWidth="1"/>
    <col min="9" max="9" width="8.1796875" style="34" bestFit="1" customWidth="1"/>
    <col min="10" max="10" width="8.1796875" style="9" bestFit="1" customWidth="1"/>
    <col min="11" max="11" width="9.1796875" style="34" bestFit="1" customWidth="1"/>
    <col min="12" max="12" width="8.1796875" style="9" bestFit="1" customWidth="1"/>
    <col min="13" max="14" width="7.1796875" style="9" customWidth="1"/>
    <col min="15" max="15" width="9.08984375" style="9" customWidth="1"/>
    <col min="16" max="16" width="11.81640625" style="34" customWidth="1"/>
    <col min="17" max="32" width="9.81640625" style="9" customWidth="1"/>
    <col min="33" max="33" width="21.1796875" style="9" customWidth="1"/>
    <col min="34" max="56" width="9.81640625" style="9" customWidth="1"/>
    <col min="57" max="16384" width="13.81640625" style="9"/>
  </cols>
  <sheetData>
    <row r="2" spans="1:16" ht="27.75" customHeight="1" x14ac:dyDescent="0.3">
      <c r="A2" s="37"/>
      <c r="B2" s="2" t="s">
        <v>61</v>
      </c>
      <c r="C2" s="10"/>
      <c r="D2" s="10"/>
      <c r="E2" s="326" t="s">
        <v>128</v>
      </c>
      <c r="F2" s="326"/>
      <c r="G2" s="326"/>
      <c r="H2" s="326"/>
      <c r="I2" s="326"/>
      <c r="J2" s="326"/>
      <c r="K2" s="326"/>
      <c r="L2" s="326"/>
      <c r="M2" s="326"/>
      <c r="N2" s="326"/>
      <c r="O2" s="10"/>
      <c r="P2" s="13"/>
    </row>
    <row r="3" spans="1:16" ht="24" customHeight="1" x14ac:dyDescent="0.3">
      <c r="A3" s="3"/>
      <c r="B3" s="332" t="e" vm="1">
        <v>#VALUE!</v>
      </c>
      <c r="C3" s="332"/>
      <c r="D3" s="332"/>
      <c r="E3" s="304">
        <f>'CHAM CONG'!C4</f>
        <v>45505</v>
      </c>
      <c r="F3" s="304"/>
      <c r="G3" s="304"/>
      <c r="H3" s="304"/>
      <c r="I3" s="304"/>
      <c r="J3" s="304"/>
      <c r="K3" s="304"/>
      <c r="L3" s="304"/>
      <c r="M3" s="304"/>
      <c r="N3" s="304"/>
      <c r="O3" s="5"/>
      <c r="P3" s="13"/>
    </row>
    <row r="4" spans="1:16" ht="24" customHeight="1" x14ac:dyDescent="0.3">
      <c r="A4" s="3"/>
      <c r="B4" s="3"/>
      <c r="C4" s="3"/>
      <c r="D4" s="3"/>
      <c r="E4" s="6"/>
      <c r="F4" s="5"/>
      <c r="G4" s="49"/>
      <c r="H4" s="49"/>
      <c r="I4" s="49"/>
      <c r="J4" s="49"/>
      <c r="K4" s="49"/>
      <c r="L4" s="5"/>
      <c r="M4" s="5"/>
      <c r="N4" s="5"/>
      <c r="O4" s="5"/>
      <c r="P4" s="13"/>
    </row>
    <row r="5" spans="1:16" ht="7" customHeight="1" thickBot="1" x14ac:dyDescent="0.35">
      <c r="A5" s="2"/>
      <c r="B5" s="2"/>
      <c r="C5" s="3"/>
      <c r="D5" s="4"/>
      <c r="E5" s="6"/>
      <c r="F5" s="5"/>
      <c r="G5" s="5"/>
      <c r="H5" s="5"/>
      <c r="I5" s="6"/>
      <c r="J5" s="5"/>
      <c r="K5" s="6"/>
      <c r="L5" s="5"/>
      <c r="M5" s="5"/>
      <c r="N5" s="5"/>
      <c r="O5" s="5"/>
      <c r="P5" s="2"/>
    </row>
    <row r="6" spans="1:16" s="35" customFormat="1" ht="22" customHeight="1" x14ac:dyDescent="0.35">
      <c r="A6" s="308" t="s">
        <v>0</v>
      </c>
      <c r="B6" s="310" t="s">
        <v>1</v>
      </c>
      <c r="C6" s="312" t="s">
        <v>2</v>
      </c>
      <c r="D6" s="313" t="s">
        <v>3</v>
      </c>
      <c r="E6" s="314" t="s">
        <v>46</v>
      </c>
      <c r="F6" s="321" t="s">
        <v>48</v>
      </c>
      <c r="G6" s="319" t="s">
        <v>49</v>
      </c>
      <c r="H6" s="327" t="s">
        <v>123</v>
      </c>
      <c r="I6" s="318"/>
      <c r="J6" s="318"/>
      <c r="K6" s="328"/>
      <c r="L6" s="325" t="s">
        <v>122</v>
      </c>
      <c r="M6" s="325"/>
      <c r="N6" s="325"/>
      <c r="O6" s="325"/>
      <c r="P6" s="316" t="s">
        <v>127</v>
      </c>
    </row>
    <row r="7" spans="1:16" s="35" customFormat="1" ht="54" customHeight="1" thickBot="1" x14ac:dyDescent="0.4">
      <c r="A7" s="309"/>
      <c r="B7" s="311"/>
      <c r="C7" s="311"/>
      <c r="D7" s="311"/>
      <c r="E7" s="315"/>
      <c r="F7" s="322"/>
      <c r="G7" s="320"/>
      <c r="H7" s="209" t="s">
        <v>124</v>
      </c>
      <c r="I7" s="50" t="s">
        <v>125</v>
      </c>
      <c r="J7" s="50" t="s">
        <v>11</v>
      </c>
      <c r="K7" s="220" t="s">
        <v>126</v>
      </c>
      <c r="L7" s="66" t="s">
        <v>9</v>
      </c>
      <c r="M7" s="50" t="s">
        <v>10</v>
      </c>
      <c r="N7" s="50" t="s">
        <v>11</v>
      </c>
      <c r="O7" s="51" t="s">
        <v>126</v>
      </c>
      <c r="P7" s="317"/>
    </row>
    <row r="8" spans="1:16" thickTop="1" thickBot="1" x14ac:dyDescent="0.35">
      <c r="A8" s="59"/>
      <c r="B8" s="60"/>
      <c r="C8" s="60"/>
      <c r="D8" s="60"/>
      <c r="E8" s="60">
        <v>1</v>
      </c>
      <c r="F8" s="62">
        <v>2</v>
      </c>
      <c r="G8" s="71" t="s">
        <v>13</v>
      </c>
      <c r="H8" s="59">
        <v>3</v>
      </c>
      <c r="I8" s="60">
        <v>4</v>
      </c>
      <c r="J8" s="60">
        <v>5</v>
      </c>
      <c r="K8" s="221" t="s">
        <v>14</v>
      </c>
      <c r="L8" s="67">
        <v>6</v>
      </c>
      <c r="M8" s="60">
        <v>7</v>
      </c>
      <c r="N8" s="60">
        <v>8</v>
      </c>
      <c r="O8" s="61" t="s">
        <v>18</v>
      </c>
      <c r="P8" s="71" t="s">
        <v>60</v>
      </c>
    </row>
    <row r="9" spans="1:16" ht="15" customHeight="1" thickTop="1" x14ac:dyDescent="0.3">
      <c r="A9" s="53" t="s">
        <v>13</v>
      </c>
      <c r="B9" s="54"/>
      <c r="C9" s="55" t="s">
        <v>19</v>
      </c>
      <c r="D9" s="56"/>
      <c r="E9" s="57">
        <f t="shared" ref="E9:K9" si="0">SUBTOTAL(9,E10:E12)</f>
        <v>31000000</v>
      </c>
      <c r="F9" s="63">
        <f>'CHAM CONG'!AH6</f>
        <v>27</v>
      </c>
      <c r="G9" s="72">
        <f>SUBTOTAL(9,G10:G12)</f>
        <v>27148148.148148149</v>
      </c>
      <c r="H9" s="210"/>
      <c r="I9" s="57"/>
      <c r="J9" s="58"/>
      <c r="K9" s="211">
        <f t="shared" si="0"/>
        <v>5972592.5925925924</v>
      </c>
      <c r="L9" s="78"/>
      <c r="M9" s="57"/>
      <c r="N9" s="57"/>
      <c r="O9" s="57">
        <f t="shared" ref="O9" si="1">SUBTOTAL(9,O10:O12)</f>
        <v>2850555.5555555555</v>
      </c>
      <c r="P9" s="72">
        <f>SUBTOTAL(9,P10:P12)</f>
        <v>8823148.1481481493</v>
      </c>
    </row>
    <row r="10" spans="1:16" ht="15" customHeight="1" x14ac:dyDescent="0.3">
      <c r="A10" s="1">
        <v>1</v>
      </c>
      <c r="B10" s="29" t="s">
        <v>32</v>
      </c>
      <c r="C10" s="30" t="str">
        <f>VLOOKUP(B10,'TINH LUONG'!$B$9:$V$21,2,0)</f>
        <v>NGUYỄN VĂN A</v>
      </c>
      <c r="D10" s="31" t="str">
        <f>VLOOKUP(B10,'TINH LUONG'!$B$9:$V$21,3,0)</f>
        <v>Manager</v>
      </c>
      <c r="E10" s="33">
        <f>VLOOKUP(B10,'TINH LUONG'!$B$9:$V$21,4,0)</f>
        <v>15000000</v>
      </c>
      <c r="F10" s="207">
        <f>VLOOKUP(C10,'CHAM CONG'!$C$10:$AO$21,39,0)</f>
        <v>23</v>
      </c>
      <c r="G10" s="73">
        <f>(E10/$F$9)*F10</f>
        <v>12777777.777777776</v>
      </c>
      <c r="H10" s="212">
        <f>G10*18%</f>
        <v>2299999.9999999995</v>
      </c>
      <c r="I10" s="33">
        <f>G10*3%</f>
        <v>383333.33333333326</v>
      </c>
      <c r="J10" s="32">
        <f>G10*1%</f>
        <v>127777.77777777777</v>
      </c>
      <c r="K10" s="213">
        <f>H10+I10+J10</f>
        <v>2811111.111111111</v>
      </c>
      <c r="L10" s="69">
        <f>G10*8%</f>
        <v>1022222.2222222221</v>
      </c>
      <c r="M10" s="32">
        <f>G10*1.5%</f>
        <v>191666.66666666663</v>
      </c>
      <c r="N10" s="32">
        <f>G10*1%</f>
        <v>127777.77777777777</v>
      </c>
      <c r="O10" s="32">
        <f>L10+M10+N10</f>
        <v>1341666.6666666665</v>
      </c>
      <c r="P10" s="81">
        <f>K10+O10</f>
        <v>4152777.7777777775</v>
      </c>
    </row>
    <row r="11" spans="1:16" ht="15" customHeight="1" x14ac:dyDescent="0.3">
      <c r="A11" s="1">
        <v>2</v>
      </c>
      <c r="B11" s="29" t="s">
        <v>33</v>
      </c>
      <c r="C11" s="30" t="str">
        <f>VLOOKUP(B11,'TINH LUONG'!$B$9:$V$21,2,0)</f>
        <v>TRẦN THANH B</v>
      </c>
      <c r="D11" s="31" t="str">
        <f>VLOOKUP(B11,'TINH LUONG'!$B$9:$V$21,3,0)</f>
        <v>Staff</v>
      </c>
      <c r="E11" s="33">
        <f>VLOOKUP(B11,'TINH LUONG'!$B$9:$V$21,4,0)</f>
        <v>8000000</v>
      </c>
      <c r="F11" s="207">
        <f>VLOOKUP(C11,'CHAM CONG'!$C$10:$AO$21,39,0)</f>
        <v>24.5</v>
      </c>
      <c r="G11" s="73">
        <f t="shared" ref="G11:G12" si="2">(E11/$F$9)*F11</f>
        <v>7259259.2592592593</v>
      </c>
      <c r="H11" s="212">
        <f>G11*18%</f>
        <v>1306666.6666666667</v>
      </c>
      <c r="I11" s="33">
        <f>G11*3%</f>
        <v>217777.77777777778</v>
      </c>
      <c r="J11" s="32">
        <f t="shared" ref="J11:J12" si="3">G11*1%</f>
        <v>72592.592592592599</v>
      </c>
      <c r="K11" s="213">
        <f t="shared" ref="K11:K12" si="4">H11+I11+J11</f>
        <v>1597037.0370370371</v>
      </c>
      <c r="L11" s="69">
        <f>G11*8%</f>
        <v>580740.74074074079</v>
      </c>
      <c r="M11" s="32">
        <f>G11*1.5%</f>
        <v>108888.88888888889</v>
      </c>
      <c r="N11" s="32">
        <f>G11*1%</f>
        <v>72592.592592592599</v>
      </c>
      <c r="O11" s="32">
        <f t="shared" ref="O11:O12" si="5">L11+M11+N11</f>
        <v>762222.22222222225</v>
      </c>
      <c r="P11" s="81">
        <f t="shared" ref="P11:P21" si="6">K11+O11</f>
        <v>2359259.2592592593</v>
      </c>
    </row>
    <row r="12" spans="1:16" ht="15" customHeight="1" x14ac:dyDescent="0.3">
      <c r="A12" s="1">
        <v>3</v>
      </c>
      <c r="B12" s="29" t="s">
        <v>34</v>
      </c>
      <c r="C12" s="30" t="str">
        <f>VLOOKUP(B12,'TINH LUONG'!$B$9:$V$21,2,0)</f>
        <v>HỒ THỊ C</v>
      </c>
      <c r="D12" s="31" t="str">
        <f>VLOOKUP(B12,'TINH LUONG'!$B$9:$V$21,3,0)</f>
        <v>Staff</v>
      </c>
      <c r="E12" s="33">
        <f>VLOOKUP(B12,'TINH LUONG'!$B$9:$V$21,4,0)</f>
        <v>8000000</v>
      </c>
      <c r="F12" s="207">
        <f>VLOOKUP(C12,'CHAM CONG'!$C$10:$AO$21,39,0)</f>
        <v>24</v>
      </c>
      <c r="G12" s="73">
        <f t="shared" si="2"/>
        <v>7111111.111111111</v>
      </c>
      <c r="H12" s="212">
        <f>G12*18%</f>
        <v>1280000</v>
      </c>
      <c r="I12" s="33">
        <f>G12*3%</f>
        <v>213333.33333333331</v>
      </c>
      <c r="J12" s="32">
        <f t="shared" si="3"/>
        <v>71111.111111111109</v>
      </c>
      <c r="K12" s="213">
        <f t="shared" si="4"/>
        <v>1564444.4444444443</v>
      </c>
      <c r="L12" s="69">
        <f>G12*8%</f>
        <v>568888.88888888888</v>
      </c>
      <c r="M12" s="32">
        <f>G12*1.5%</f>
        <v>106666.66666666666</v>
      </c>
      <c r="N12" s="32">
        <f>G12*1%</f>
        <v>71111.111111111109</v>
      </c>
      <c r="O12" s="32">
        <f t="shared" si="5"/>
        <v>746666.66666666663</v>
      </c>
      <c r="P12" s="81">
        <f t="shared" si="6"/>
        <v>2311111.111111111</v>
      </c>
    </row>
    <row r="13" spans="1:16" ht="15" customHeight="1" x14ac:dyDescent="0.3">
      <c r="A13" s="38" t="s">
        <v>14</v>
      </c>
      <c r="B13" s="39"/>
      <c r="C13" s="40" t="s">
        <v>23</v>
      </c>
      <c r="D13" s="41"/>
      <c r="E13" s="42">
        <f t="shared" ref="E13:K13" si="7">SUBTOTAL(9,E14:E18)</f>
        <v>38000000</v>
      </c>
      <c r="F13" s="65"/>
      <c r="G13" s="74">
        <f>SUBTOTAL(9,G14:G18)</f>
        <v>33055555.555555556</v>
      </c>
      <c r="H13" s="214"/>
      <c r="I13" s="42"/>
      <c r="J13" s="42"/>
      <c r="K13" s="215">
        <f t="shared" si="7"/>
        <v>8696666.6666666679</v>
      </c>
      <c r="L13" s="70"/>
      <c r="M13" s="42"/>
      <c r="N13" s="42"/>
      <c r="O13" s="42">
        <f>SUBTOTAL(9,O14:O18)</f>
        <v>3470833.333333334</v>
      </c>
      <c r="P13" s="74">
        <f>SUBTOTAL(9,P14:P18)</f>
        <v>12167500.000000002</v>
      </c>
    </row>
    <row r="14" spans="1:16" ht="15" customHeight="1" x14ac:dyDescent="0.3">
      <c r="A14" s="1">
        <v>4</v>
      </c>
      <c r="B14" s="29" t="s">
        <v>35</v>
      </c>
      <c r="C14" s="30" t="str">
        <f>VLOOKUP(B14,'TINH LUONG'!$B$9:$V$21,2,0)</f>
        <v>HÀ VĂN D</v>
      </c>
      <c r="D14" s="31" t="str">
        <f>VLOOKUP(B14,'TINH LUONG'!$B$9:$V$21,3,0)</f>
        <v>Leader</v>
      </c>
      <c r="E14" s="33">
        <f>VLOOKUP(B14,'TINH LUONG'!$B$9:$V$21,4,0)</f>
        <v>10000000</v>
      </c>
      <c r="F14" s="207">
        <f>VLOOKUP(C14,'CHAM CONG'!$C$10:$AO$21,39,0)</f>
        <v>24.5</v>
      </c>
      <c r="G14" s="73">
        <f>(E14/$F$9)*F14</f>
        <v>9074074.0740740746</v>
      </c>
      <c r="H14" s="212">
        <f t="shared" ref="H14:H17" si="8">G14*18%</f>
        <v>1633333.3333333335</v>
      </c>
      <c r="I14" s="33">
        <f>G14*3%</f>
        <v>272222.22222222225</v>
      </c>
      <c r="J14" s="32">
        <f>F14*15000</f>
        <v>367500</v>
      </c>
      <c r="K14" s="213">
        <f>H14+I14+J14</f>
        <v>2273055.555555556</v>
      </c>
      <c r="L14" s="69">
        <f>G14*8%</f>
        <v>725925.92592592596</v>
      </c>
      <c r="M14" s="32">
        <f>G14*1.5%</f>
        <v>136111.11111111112</v>
      </c>
      <c r="N14" s="32">
        <f>G14*1%</f>
        <v>90740.740740740745</v>
      </c>
      <c r="O14" s="32">
        <f>L14+M14+N14</f>
        <v>952777.77777777787</v>
      </c>
      <c r="P14" s="81">
        <f t="shared" si="6"/>
        <v>3225833.333333334</v>
      </c>
    </row>
    <row r="15" spans="1:16" ht="15" customHeight="1" x14ac:dyDescent="0.3">
      <c r="A15" s="1">
        <v>5</v>
      </c>
      <c r="B15" s="29" t="s">
        <v>36</v>
      </c>
      <c r="C15" s="30" t="str">
        <f>VLOOKUP(B15,'TINH LUONG'!$B$9:$V$21,2,0)</f>
        <v>LÊ PHƯƠNG E</v>
      </c>
      <c r="D15" s="31" t="str">
        <f>VLOOKUP(B15,'TINH LUONG'!$B$9:$V$21,3,0)</f>
        <v>Staff</v>
      </c>
      <c r="E15" s="33">
        <f>VLOOKUP(B15,'TINH LUONG'!$B$9:$V$21,4,0)</f>
        <v>7000000</v>
      </c>
      <c r="F15" s="207">
        <f>VLOOKUP(C15,'CHAM CONG'!$C$10:$AO$21,39,0)</f>
        <v>23.5</v>
      </c>
      <c r="G15" s="73">
        <f t="shared" ref="G15:G18" si="9">(E15/$F$9)*F15</f>
        <v>6092592.5925925933</v>
      </c>
      <c r="H15" s="212">
        <f t="shared" si="8"/>
        <v>1096666.6666666667</v>
      </c>
      <c r="I15" s="33">
        <f t="shared" ref="I15:I17" si="10">G15*3%</f>
        <v>182777.77777777778</v>
      </c>
      <c r="J15" s="32">
        <f t="shared" ref="J15:J18" si="11">F15*15000</f>
        <v>352500</v>
      </c>
      <c r="K15" s="213">
        <f t="shared" ref="K15:K20" si="12">H15+I15+J15</f>
        <v>1631944.4444444445</v>
      </c>
      <c r="L15" s="69">
        <f>G15*8%</f>
        <v>487407.40740740747</v>
      </c>
      <c r="M15" s="32">
        <f>G15*1.5%</f>
        <v>91388.888888888891</v>
      </c>
      <c r="N15" s="32">
        <f>G15*1%</f>
        <v>60925.925925925934</v>
      </c>
      <c r="O15" s="32">
        <f t="shared" ref="O15:O18" si="13">L15+M15+N15</f>
        <v>639722.22222222236</v>
      </c>
      <c r="P15" s="81">
        <f t="shared" si="6"/>
        <v>2271666.666666667</v>
      </c>
    </row>
    <row r="16" spans="1:16" ht="15" customHeight="1" x14ac:dyDescent="0.3">
      <c r="A16" s="1">
        <v>6</v>
      </c>
      <c r="B16" s="29" t="s">
        <v>37</v>
      </c>
      <c r="C16" s="30" t="str">
        <f>VLOOKUP(B16,'TINH LUONG'!$B$9:$V$21,2,0)</f>
        <v>LÝ MINH F</v>
      </c>
      <c r="D16" s="31" t="str">
        <f>VLOOKUP(B16,'TINH LUONG'!$B$9:$V$21,3,0)</f>
        <v>Staff</v>
      </c>
      <c r="E16" s="33">
        <f>VLOOKUP(B16,'TINH LUONG'!$B$9:$V$21,4,0)</f>
        <v>7000000</v>
      </c>
      <c r="F16" s="207">
        <f>VLOOKUP(C16,'CHAM CONG'!$C$10:$AO$21,39,0)</f>
        <v>23</v>
      </c>
      <c r="G16" s="73">
        <f t="shared" si="9"/>
        <v>5962962.9629629636</v>
      </c>
      <c r="H16" s="212">
        <f t="shared" si="8"/>
        <v>1073333.3333333335</v>
      </c>
      <c r="I16" s="33">
        <f t="shared" si="10"/>
        <v>178888.88888888891</v>
      </c>
      <c r="J16" s="32">
        <f t="shared" si="11"/>
        <v>345000</v>
      </c>
      <c r="K16" s="213">
        <f t="shared" si="12"/>
        <v>1597222.2222222225</v>
      </c>
      <c r="L16" s="69">
        <f>G16*8%</f>
        <v>477037.03703703708</v>
      </c>
      <c r="M16" s="32">
        <f>G16*1.5%</f>
        <v>89444.444444444453</v>
      </c>
      <c r="N16" s="32">
        <f>G16*1%</f>
        <v>59629.629629629635</v>
      </c>
      <c r="O16" s="32">
        <f t="shared" si="13"/>
        <v>626111.11111111124</v>
      </c>
      <c r="P16" s="81">
        <f t="shared" si="6"/>
        <v>2223333.333333334</v>
      </c>
    </row>
    <row r="17" spans="1:16" ht="15" customHeight="1" x14ac:dyDescent="0.3">
      <c r="A17" s="1">
        <v>7</v>
      </c>
      <c r="B17" s="29" t="s">
        <v>38</v>
      </c>
      <c r="C17" s="30" t="str">
        <f>VLOOKUP(B17,'TINH LUONG'!$B$9:$V$21,2,0)</f>
        <v>HOÀNG VĂN G</v>
      </c>
      <c r="D17" s="31" t="str">
        <f>VLOOKUP(B17,'TINH LUONG'!$B$9:$V$21,3,0)</f>
        <v>Staff</v>
      </c>
      <c r="E17" s="33">
        <f>VLOOKUP(B17,'TINH LUONG'!$B$9:$V$21,4,0)</f>
        <v>7000000</v>
      </c>
      <c r="F17" s="207">
        <f>VLOOKUP(C17,'CHAM CONG'!$C$10:$AO$21,39,0)</f>
        <v>23</v>
      </c>
      <c r="G17" s="73">
        <f t="shared" si="9"/>
        <v>5962962.9629629636</v>
      </c>
      <c r="H17" s="212">
        <f t="shared" si="8"/>
        <v>1073333.3333333335</v>
      </c>
      <c r="I17" s="33">
        <f t="shared" si="10"/>
        <v>178888.88888888891</v>
      </c>
      <c r="J17" s="32">
        <f t="shared" si="11"/>
        <v>345000</v>
      </c>
      <c r="K17" s="213">
        <f t="shared" si="12"/>
        <v>1597222.2222222225</v>
      </c>
      <c r="L17" s="69">
        <f>G17*8%</f>
        <v>477037.03703703708</v>
      </c>
      <c r="M17" s="32">
        <f>G17*1.5%</f>
        <v>89444.444444444453</v>
      </c>
      <c r="N17" s="32">
        <f>G17*1%</f>
        <v>59629.629629629635</v>
      </c>
      <c r="O17" s="32">
        <f t="shared" si="13"/>
        <v>626111.11111111124</v>
      </c>
      <c r="P17" s="81">
        <f t="shared" si="6"/>
        <v>2223333.333333334</v>
      </c>
    </row>
    <row r="18" spans="1:16" ht="15" customHeight="1" x14ac:dyDescent="0.3">
      <c r="A18" s="1">
        <v>8</v>
      </c>
      <c r="B18" s="29" t="s">
        <v>39</v>
      </c>
      <c r="C18" s="30" t="str">
        <f>VLOOKUP(B18,'TINH LUONG'!$B$9:$V$21,2,0)</f>
        <v>ĐỖ TẤN H</v>
      </c>
      <c r="D18" s="31" t="str">
        <f>VLOOKUP(B18,'TINH LUONG'!$B$9:$V$21,3,0)</f>
        <v>Staff</v>
      </c>
      <c r="E18" s="33">
        <f>VLOOKUP(B18,'TINH LUONG'!$B$9:$V$21,4,0)</f>
        <v>7000000</v>
      </c>
      <c r="F18" s="207">
        <f>VLOOKUP(C18,'CHAM CONG'!$C$10:$AO$21,39,0)</f>
        <v>23</v>
      </c>
      <c r="G18" s="73">
        <f t="shared" si="9"/>
        <v>5962962.9629629636</v>
      </c>
      <c r="H18" s="212">
        <f>G18*18%</f>
        <v>1073333.3333333335</v>
      </c>
      <c r="I18" s="33">
        <f>G18*3%</f>
        <v>178888.88888888891</v>
      </c>
      <c r="J18" s="32">
        <f t="shared" si="11"/>
        <v>345000</v>
      </c>
      <c r="K18" s="213">
        <f t="shared" si="12"/>
        <v>1597222.2222222225</v>
      </c>
      <c r="L18" s="69">
        <f>G18*8%</f>
        <v>477037.03703703708</v>
      </c>
      <c r="M18" s="32">
        <f>G18*1.5%</f>
        <v>89444.444444444453</v>
      </c>
      <c r="N18" s="32">
        <f>G18*1%</f>
        <v>59629.629629629635</v>
      </c>
      <c r="O18" s="32">
        <f t="shared" si="13"/>
        <v>626111.11111111124</v>
      </c>
      <c r="P18" s="81">
        <f t="shared" si="6"/>
        <v>2223333.333333334</v>
      </c>
    </row>
    <row r="19" spans="1:16" ht="15" customHeight="1" x14ac:dyDescent="0.3">
      <c r="A19" s="38" t="s">
        <v>18</v>
      </c>
      <c r="B19" s="39"/>
      <c r="C19" s="40" t="s">
        <v>29</v>
      </c>
      <c r="D19" s="43"/>
      <c r="E19" s="42">
        <f>SUBTOTAL(9,E20:E21)</f>
        <v>20000000</v>
      </c>
      <c r="F19" s="65"/>
      <c r="G19" s="74">
        <f>SUBTOTAL(9,G20:G21)</f>
        <v>19703703.703703701</v>
      </c>
      <c r="H19" s="214"/>
      <c r="I19" s="42"/>
      <c r="J19" s="42"/>
      <c r="K19" s="215">
        <f t="shared" ref="K19" si="14">SUBTOTAL(9,K20:K21)</f>
        <v>7317777.777777778</v>
      </c>
      <c r="L19" s="70"/>
      <c r="M19" s="42"/>
      <c r="N19" s="42"/>
      <c r="O19" s="42">
        <f>SUBTOTAL(9,O20:O21)</f>
        <v>2068888.888888889</v>
      </c>
      <c r="P19" s="74">
        <f>SUBTOTAL(9,P20:P21)</f>
        <v>9386666.666666666</v>
      </c>
    </row>
    <row r="20" spans="1:16" ht="15" customHeight="1" x14ac:dyDescent="0.3">
      <c r="A20" s="1">
        <v>9</v>
      </c>
      <c r="B20" s="29" t="s">
        <v>40</v>
      </c>
      <c r="C20" s="30" t="str">
        <f>VLOOKUP(B20,'TINH LUONG'!$B$9:$V$21,2,0)</f>
        <v>LÂM VĂN K</v>
      </c>
      <c r="D20" s="31" t="str">
        <f>VLOOKUP(B20,'TINH LUONG'!$B$9:$V$21,3,0)</f>
        <v>Leader</v>
      </c>
      <c r="E20" s="33">
        <f>VLOOKUP(B20,'TINH LUONG'!$B$9:$V$21,4,0)</f>
        <v>12000000</v>
      </c>
      <c r="F20" s="207">
        <f>VLOOKUP(C20,'CHAM CONG'!$C$10:$AO$21,39,0)</f>
        <v>27</v>
      </c>
      <c r="G20" s="73">
        <f>(E20/$F$9)*F20</f>
        <v>12000000</v>
      </c>
      <c r="H20" s="212">
        <f t="shared" ref="H20:H21" si="15">G20*18%</f>
        <v>2160000</v>
      </c>
      <c r="I20" s="33">
        <f t="shared" ref="I20:I21" si="16">G20*3%</f>
        <v>360000</v>
      </c>
      <c r="J20" s="32">
        <f>F20*60000</f>
        <v>1620000</v>
      </c>
      <c r="K20" s="213">
        <f t="shared" si="12"/>
        <v>4140000</v>
      </c>
      <c r="L20" s="69">
        <f>G20*8%</f>
        <v>960000</v>
      </c>
      <c r="M20" s="32">
        <f>G20*1.5%</f>
        <v>180000</v>
      </c>
      <c r="N20" s="32">
        <f>G20*1%</f>
        <v>120000</v>
      </c>
      <c r="O20" s="32">
        <f>L20+M20+N20</f>
        <v>1260000</v>
      </c>
      <c r="P20" s="81">
        <f t="shared" si="6"/>
        <v>5400000</v>
      </c>
    </row>
    <row r="21" spans="1:16" ht="15" customHeight="1" thickBot="1" x14ac:dyDescent="0.35">
      <c r="A21" s="82">
        <v>10</v>
      </c>
      <c r="B21" s="83" t="s">
        <v>41</v>
      </c>
      <c r="C21" s="84" t="str">
        <f>VLOOKUP(B21,'TINH LUONG'!$B$9:$V$21,2,0)</f>
        <v>TRỊNH NGỌC M</v>
      </c>
      <c r="D21" s="85" t="str">
        <f>VLOOKUP(B21,'TINH LUONG'!$B$9:$V$21,3,0)</f>
        <v>Staff</v>
      </c>
      <c r="E21" s="86">
        <f>VLOOKUP(B21,'TINH LUONG'!$B$9:$V$21,4,0)</f>
        <v>8000000</v>
      </c>
      <c r="F21" s="208">
        <f>VLOOKUP(C21,'CHAM CONG'!$C$10:$AO$21,39,0)</f>
        <v>26</v>
      </c>
      <c r="G21" s="88">
        <f>(E21/$F$9)*F21</f>
        <v>7703703.7037037034</v>
      </c>
      <c r="H21" s="216">
        <f t="shared" si="15"/>
        <v>1386666.6666666665</v>
      </c>
      <c r="I21" s="86">
        <f t="shared" si="16"/>
        <v>231111.11111111109</v>
      </c>
      <c r="J21" s="90">
        <f>F21*60000</f>
        <v>1560000</v>
      </c>
      <c r="K21" s="217">
        <f>H21+I21+J21</f>
        <v>3177777.7777777775</v>
      </c>
      <c r="L21" s="89">
        <f>G21*8%</f>
        <v>616296.29629629629</v>
      </c>
      <c r="M21" s="90">
        <f>G21*1.5%</f>
        <v>115555.55555555555</v>
      </c>
      <c r="N21" s="90">
        <f>G21*1%</f>
        <v>77037.037037037036</v>
      </c>
      <c r="O21" s="90">
        <f>L21+M21+N21</f>
        <v>808888.88888888888</v>
      </c>
      <c r="P21" s="96">
        <f t="shared" si="6"/>
        <v>3986666.6666666665</v>
      </c>
    </row>
    <row r="22" spans="1:16" ht="15" customHeight="1" thickBot="1" x14ac:dyDescent="0.35">
      <c r="A22" s="97"/>
      <c r="B22" s="98"/>
      <c r="C22" s="99" t="s">
        <v>45</v>
      </c>
      <c r="D22" s="100"/>
      <c r="E22" s="101">
        <f>SUBTOTAL(9,E9:E21)</f>
        <v>89000000</v>
      </c>
      <c r="F22" s="102"/>
      <c r="G22" s="103">
        <f>SUBTOTAL(9,G9:G21)</f>
        <v>79907407.407407403</v>
      </c>
      <c r="H22" s="218"/>
      <c r="I22" s="101"/>
      <c r="J22" s="105"/>
      <c r="K22" s="219">
        <f t="shared" ref="K22" si="17">SUBTOTAL(9,K9:K21)</f>
        <v>21987037.037037037</v>
      </c>
      <c r="L22" s="104"/>
      <c r="M22" s="105"/>
      <c r="N22" s="105"/>
      <c r="O22" s="105">
        <f>SUBTOTAL(9,O9:O21)</f>
        <v>8390277.777777778</v>
      </c>
      <c r="P22" s="103">
        <f>SUBTOTAL(9,P9:P21)</f>
        <v>30377314.814814817</v>
      </c>
    </row>
    <row r="23" spans="1:16" ht="15" customHeight="1" x14ac:dyDescent="0.3">
      <c r="A23" s="110"/>
      <c r="B23" s="110"/>
      <c r="C23" s="111"/>
      <c r="D23" s="112"/>
      <c r="E23" s="113"/>
      <c r="F23" s="113"/>
      <c r="G23" s="113"/>
      <c r="H23" s="114"/>
      <c r="I23" s="113"/>
      <c r="J23" s="114"/>
      <c r="K23" s="113"/>
      <c r="L23" s="114"/>
      <c r="M23" s="114"/>
      <c r="N23" s="114"/>
      <c r="O23" s="114"/>
      <c r="P23" s="113"/>
    </row>
    <row r="24" spans="1:16" ht="16.5" customHeight="1" x14ac:dyDescent="0.3">
      <c r="A24" s="14"/>
      <c r="B24" s="14"/>
      <c r="C24" s="15"/>
      <c r="D24" s="16"/>
      <c r="E24" s="18"/>
      <c r="F24" s="11"/>
      <c r="G24" s="11"/>
      <c r="H24" s="11"/>
      <c r="I24" s="18"/>
      <c r="J24" s="11"/>
      <c r="K24" s="275" t="s">
        <v>62</v>
      </c>
      <c r="L24" s="275"/>
      <c r="M24" s="275"/>
      <c r="N24" s="275"/>
      <c r="O24" s="275"/>
      <c r="P24" s="18"/>
    </row>
    <row r="25" spans="1:16" ht="15.5" x14ac:dyDescent="0.3">
      <c r="A25" s="19"/>
      <c r="B25" s="21"/>
      <c r="C25" s="22" t="s">
        <v>15</v>
      </c>
      <c r="F25" s="307" t="s">
        <v>16</v>
      </c>
      <c r="G25" s="306"/>
      <c r="H25" s="8"/>
      <c r="I25" s="22"/>
      <c r="K25" s="277" t="s">
        <v>63</v>
      </c>
      <c r="L25" s="277"/>
      <c r="M25" s="277"/>
      <c r="N25" s="277"/>
      <c r="O25" s="277"/>
      <c r="P25" s="24"/>
    </row>
    <row r="26" spans="1:16" ht="15.5" x14ac:dyDescent="0.3">
      <c r="A26" s="25"/>
      <c r="B26" s="27"/>
      <c r="C26" s="24" t="s">
        <v>17</v>
      </c>
      <c r="F26" s="305" t="s">
        <v>17</v>
      </c>
      <c r="G26" s="306"/>
      <c r="H26" s="7"/>
      <c r="I26" s="28"/>
      <c r="K26" s="280" t="s">
        <v>64</v>
      </c>
      <c r="L26" s="280"/>
      <c r="M26" s="280"/>
      <c r="N26" s="280"/>
      <c r="O26" s="280"/>
      <c r="P26" s="28"/>
    </row>
  </sheetData>
  <mergeCells count="18">
    <mergeCell ref="B3:D3"/>
    <mergeCell ref="P6:P7"/>
    <mergeCell ref="F25:G25"/>
    <mergeCell ref="A6:A7"/>
    <mergeCell ref="B6:B7"/>
    <mergeCell ref="C6:C7"/>
    <mergeCell ref="D6:D7"/>
    <mergeCell ref="E6:E7"/>
    <mergeCell ref="F6:F7"/>
    <mergeCell ref="G6:G7"/>
    <mergeCell ref="F26:G26"/>
    <mergeCell ref="E2:N2"/>
    <mergeCell ref="E3:N3"/>
    <mergeCell ref="K24:O24"/>
    <mergeCell ref="K25:O25"/>
    <mergeCell ref="K26:O26"/>
    <mergeCell ref="H6:K6"/>
    <mergeCell ref="L6:O6"/>
  </mergeCells>
  <printOptions horizontalCentered="1"/>
  <pageMargins left="0.11811023622047245" right="0.11811023622047245" top="0.39370078740157483" bottom="0.19685039370078741" header="0" footer="0"/>
  <pageSetup scale="7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5D7B565-DDEB-4B98-AF7C-52AC4699F886}">
          <x14:formula1>
            <xm:f>'DS NV'!$A$2:$A$11</xm:f>
          </x14:formula1>
          <xm:sqref>B20:B21 B14:B18 B10:B12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04E40-53FF-48A5-9A6E-7DCD5329DA45}">
  <dimension ref="A1:D11"/>
  <sheetViews>
    <sheetView workbookViewId="0">
      <selection activeCell="G23" sqref="G23"/>
    </sheetView>
  </sheetViews>
  <sheetFormatPr defaultColWidth="8.81640625" defaultRowHeight="15.5" x14ac:dyDescent="0.35"/>
  <cols>
    <col min="1" max="1" width="11.7265625" style="35" customWidth="1"/>
    <col min="2" max="2" width="22.54296875" style="35" customWidth="1"/>
    <col min="3" max="3" width="11.90625" style="35" customWidth="1"/>
    <col min="4" max="4" width="13" style="35" customWidth="1"/>
    <col min="5" max="16384" width="8.81640625" style="35"/>
  </cols>
  <sheetData>
    <row r="1" spans="1:4" x14ac:dyDescent="0.35">
      <c r="A1" s="119" t="s">
        <v>1</v>
      </c>
      <c r="B1" s="120" t="s">
        <v>2</v>
      </c>
      <c r="C1" s="121" t="s">
        <v>50</v>
      </c>
      <c r="D1" s="122" t="s">
        <v>66</v>
      </c>
    </row>
    <row r="2" spans="1:4" x14ac:dyDescent="0.35">
      <c r="A2" s="116" t="s">
        <v>32</v>
      </c>
      <c r="B2" s="117" t="s">
        <v>20</v>
      </c>
      <c r="C2" s="118" t="s">
        <v>42</v>
      </c>
      <c r="D2" s="123" t="s">
        <v>72</v>
      </c>
    </row>
    <row r="3" spans="1:4" x14ac:dyDescent="0.35">
      <c r="A3" s="116" t="s">
        <v>33</v>
      </c>
      <c r="B3" s="117" t="s">
        <v>21</v>
      </c>
      <c r="C3" s="118" t="s">
        <v>43</v>
      </c>
      <c r="D3" s="123" t="s">
        <v>72</v>
      </c>
    </row>
    <row r="4" spans="1:4" x14ac:dyDescent="0.35">
      <c r="A4" s="116" t="s">
        <v>34</v>
      </c>
      <c r="B4" s="117" t="s">
        <v>22</v>
      </c>
      <c r="C4" s="118" t="s">
        <v>43</v>
      </c>
      <c r="D4" s="123" t="s">
        <v>72</v>
      </c>
    </row>
    <row r="5" spans="1:4" x14ac:dyDescent="0.35">
      <c r="A5" s="116" t="s">
        <v>35</v>
      </c>
      <c r="B5" s="117" t="s">
        <v>24</v>
      </c>
      <c r="C5" s="118" t="s">
        <v>44</v>
      </c>
      <c r="D5" s="123" t="s">
        <v>73</v>
      </c>
    </row>
    <row r="6" spans="1:4" x14ac:dyDescent="0.35">
      <c r="A6" s="116" t="s">
        <v>36</v>
      </c>
      <c r="B6" s="117" t="s">
        <v>25</v>
      </c>
      <c r="C6" s="118" t="s">
        <v>43</v>
      </c>
      <c r="D6" s="123" t="s">
        <v>73</v>
      </c>
    </row>
    <row r="7" spans="1:4" x14ac:dyDescent="0.35">
      <c r="A7" s="116" t="s">
        <v>37</v>
      </c>
      <c r="B7" s="117" t="s">
        <v>26</v>
      </c>
      <c r="C7" s="118" t="s">
        <v>43</v>
      </c>
      <c r="D7" s="123" t="s">
        <v>73</v>
      </c>
    </row>
    <row r="8" spans="1:4" x14ac:dyDescent="0.35">
      <c r="A8" s="116" t="s">
        <v>38</v>
      </c>
      <c r="B8" s="117" t="s">
        <v>27</v>
      </c>
      <c r="C8" s="118" t="s">
        <v>43</v>
      </c>
      <c r="D8" s="123" t="s">
        <v>73</v>
      </c>
    </row>
    <row r="9" spans="1:4" x14ac:dyDescent="0.35">
      <c r="A9" s="116" t="s">
        <v>39</v>
      </c>
      <c r="B9" s="117" t="s">
        <v>28</v>
      </c>
      <c r="C9" s="118" t="s">
        <v>43</v>
      </c>
      <c r="D9" s="123" t="s">
        <v>73</v>
      </c>
    </row>
    <row r="10" spans="1:4" x14ac:dyDescent="0.35">
      <c r="A10" s="116" t="s">
        <v>40</v>
      </c>
      <c r="B10" s="117" t="s">
        <v>30</v>
      </c>
      <c r="C10" s="118" t="s">
        <v>44</v>
      </c>
      <c r="D10" s="123" t="s">
        <v>74</v>
      </c>
    </row>
    <row r="11" spans="1:4" x14ac:dyDescent="0.35">
      <c r="A11" s="116" t="s">
        <v>41</v>
      </c>
      <c r="B11" s="117" t="s">
        <v>31</v>
      </c>
      <c r="C11" s="118" t="s">
        <v>43</v>
      </c>
      <c r="D11" s="12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PHIEU LUONG</vt:lpstr>
      <vt:lpstr>CHAM CONG</vt:lpstr>
      <vt:lpstr>TINH LUONG</vt:lpstr>
      <vt:lpstr>BAO HIEM</vt:lpstr>
      <vt:lpstr>DS NV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Nhut TM</dc:creator>
  <cp:lastModifiedBy>Vinh DJ</cp:lastModifiedBy>
  <cp:lastPrinted>2024-08-02T14:30:11Z</cp:lastPrinted>
  <dcterms:created xsi:type="dcterms:W3CDTF">2024-06-07T15:21:26Z</dcterms:created>
  <dcterms:modified xsi:type="dcterms:W3CDTF">2024-10-06T05:11:21Z</dcterms:modified>
</cp:coreProperties>
</file>